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5219"/>
  <workbookPr defaultThemeVersion="124226"/>
  <mc:AlternateContent xmlns:mc="http://schemas.openxmlformats.org/markup-compatibility/2006">
    <mc:Choice Requires="x15">
      <x15ac:absPath xmlns:x15ac="http://schemas.microsoft.com/office/spreadsheetml/2010/11/ac" url="L:\ДБП\Управління банківських продуктів\Стефанюк\Cпоживчий кредит\Банківський продукт споживчий кредит\Для сайта\"/>
    </mc:Choice>
  </mc:AlternateContent>
  <xr:revisionPtr revIDLastSave="0" documentId="13_ncr:1_{E559CC41-F3D9-4B5E-8AFC-C016D37AAE44}" xr6:coauthVersionLast="47" xr6:coauthVersionMax="47" xr10:uidLastSave="{00000000-0000-0000-0000-000000000000}"/>
  <workbookProtection workbookAlgorithmName="SHA-512" workbookHashValue="fqVltoqfGb48sAvDUCzNLZcLP9HWZpQqdrUuOaxuk9JHWZlcDSYhAZv13KkiIcIZhwLOjCGAFaq5fXat+Wr3YQ==" workbookSaltValue="7VUONss1hAP7A3Bmn26XSA==" workbookSpinCount="100000" lockStructure="1"/>
  <bookViews>
    <workbookView xWindow="-120" yWindow="-120" windowWidth="29040" windowHeight="15840" firstSheet="3" activeTab="3" xr2:uid="{00000000-000D-0000-FFFF-FFFF00000000}"/>
  </bookViews>
  <sheets>
    <sheet name="паспорт" sheetId="1" state="hidden" r:id="rId1"/>
    <sheet name="  (2)" sheetId="13" state="hidden" r:id="rId2"/>
    <sheet name=" " sheetId="3" state="hidden" r:id="rId3"/>
    <sheet name="Графік платежів 1" sheetId="10" r:id="rId4"/>
    <sheet name="Графік платежів 2" sheetId="12" r:id="rId5"/>
    <sheet name="Лист1" sheetId="11" state="hidden" r:id="rId6"/>
  </sheets>
  <definedNames>
    <definedName name="_xlnm.Print_Area" localSheetId="2">' '!$A$1:$Q$265</definedName>
    <definedName name="_xlnm.Print_Area" localSheetId="1">'  (2)'!$B$1:$R$265</definedName>
    <definedName name="_xlnm.Print_Area" localSheetId="0">паспорт!$A$1:$C$74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8" i="13" l="1"/>
  <c r="E9" i="13"/>
  <c r="E11" i="13"/>
  <c r="R21" i="12"/>
  <c r="R22" i="12"/>
  <c r="R20" i="12"/>
  <c r="Q20" i="12"/>
  <c r="I21" i="12"/>
  <c r="I22" i="12"/>
  <c r="I23" i="12"/>
  <c r="I24" i="12"/>
  <c r="I25" i="12"/>
  <c r="A21" i="12"/>
  <c r="T265" i="13"/>
  <c r="O24" i="13"/>
  <c r="M24" i="13"/>
  <c r="Q12" i="13"/>
  <c r="F12" i="13"/>
  <c r="AD10" i="13"/>
  <c r="AD15" i="13" s="1"/>
  <c r="O10" i="13"/>
  <c r="Q9" i="13"/>
  <c r="O9" i="13"/>
  <c r="K24" i="13" s="1"/>
  <c r="O8" i="13"/>
  <c r="P8" i="13" s="1"/>
  <c r="O7" i="13"/>
  <c r="Q7" i="13" s="1"/>
  <c r="J24" i="13" s="1"/>
  <c r="E6" i="13"/>
  <c r="F24" i="13" s="1"/>
  <c r="O5" i="13"/>
  <c r="O3" i="13"/>
  <c r="O80" i="12"/>
  <c r="O79" i="12"/>
  <c r="O78" i="12"/>
  <c r="O77" i="12"/>
  <c r="O76" i="12"/>
  <c r="O75" i="12"/>
  <c r="O74" i="12"/>
  <c r="O73" i="12"/>
  <c r="O72" i="12"/>
  <c r="O71" i="12"/>
  <c r="O70" i="12"/>
  <c r="O68" i="12"/>
  <c r="O67" i="12"/>
  <c r="O66" i="12"/>
  <c r="O65" i="12"/>
  <c r="O64" i="12"/>
  <c r="O63" i="12"/>
  <c r="O62" i="12"/>
  <c r="O61" i="12"/>
  <c r="O60" i="12"/>
  <c r="O59" i="12"/>
  <c r="O58" i="12"/>
  <c r="O56" i="12"/>
  <c r="O55" i="12"/>
  <c r="O54" i="12"/>
  <c r="O53" i="12"/>
  <c r="O52" i="12"/>
  <c r="O51" i="12"/>
  <c r="O50" i="12"/>
  <c r="O49" i="12"/>
  <c r="O48" i="12"/>
  <c r="O47" i="12"/>
  <c r="O46" i="12"/>
  <c r="O44" i="12"/>
  <c r="O43" i="12"/>
  <c r="O42" i="12"/>
  <c r="O41" i="12"/>
  <c r="O40" i="12"/>
  <c r="O39" i="12"/>
  <c r="O38" i="12"/>
  <c r="O37" i="12"/>
  <c r="O36" i="12"/>
  <c r="O35" i="12"/>
  <c r="O34" i="12"/>
  <c r="O32" i="12"/>
  <c r="O31" i="12"/>
  <c r="O30" i="12"/>
  <c r="O29" i="12"/>
  <c r="O28" i="12"/>
  <c r="O27" i="12"/>
  <c r="O26" i="12"/>
  <c r="O25" i="12"/>
  <c r="O24" i="12"/>
  <c r="N24" i="12"/>
  <c r="M24" i="12"/>
  <c r="O23" i="12"/>
  <c r="N23" i="12"/>
  <c r="M23" i="12"/>
  <c r="O22" i="12"/>
  <c r="N22" i="12"/>
  <c r="M22" i="12"/>
  <c r="O21" i="12"/>
  <c r="N21" i="12"/>
  <c r="M21" i="12"/>
  <c r="A20" i="12"/>
  <c r="D7" i="12"/>
  <c r="C6" i="12"/>
  <c r="H25" i="13" l="1"/>
  <c r="G25" i="13"/>
  <c r="Z7" i="13"/>
  <c r="AA7" i="13" s="1"/>
  <c r="O4" i="13"/>
  <c r="P10" i="13"/>
  <c r="L24" i="13" s="1"/>
  <c r="Q3" i="13"/>
  <c r="Q4" i="13" s="1"/>
  <c r="Q8" i="13" s="1"/>
  <c r="N24" i="13" s="1"/>
  <c r="I20" i="12" s="1"/>
  <c r="H8" i="12" s="1"/>
  <c r="Z9" i="13"/>
  <c r="AA9" i="13" s="1"/>
  <c r="Z11" i="13"/>
  <c r="AA11" i="13" s="1"/>
  <c r="Z12" i="13"/>
  <c r="AA12" i="13" s="1"/>
  <c r="Z14" i="13"/>
  <c r="AA14" i="13" s="1"/>
  <c r="Z10" i="13"/>
  <c r="AA10" i="13" s="1"/>
  <c r="Z16" i="13"/>
  <c r="AA16" i="13" s="1"/>
  <c r="Z18" i="13"/>
  <c r="AA18" i="13" s="1"/>
  <c r="Z20" i="13"/>
  <c r="AA20" i="13" s="1"/>
  <c r="H8" i="13"/>
  <c r="Z8" i="13"/>
  <c r="AA8" i="13" s="1"/>
  <c r="Z13" i="13"/>
  <c r="AA13" i="13" s="1"/>
  <c r="Z15" i="13"/>
  <c r="AA15" i="13" s="1"/>
  <c r="P25" i="13"/>
  <c r="G21" i="12" s="1"/>
  <c r="B26" i="13"/>
  <c r="P26" i="13"/>
  <c r="G22" i="12" s="1"/>
  <c r="Z17" i="13"/>
  <c r="AA17" i="13" s="1"/>
  <c r="Z19" i="13"/>
  <c r="AA19" i="13" s="1"/>
  <c r="Z21" i="13"/>
  <c r="AA21" i="13" s="1"/>
  <c r="Q25" i="13"/>
  <c r="Q21" i="12" s="1"/>
  <c r="Q26" i="13"/>
  <c r="Q22" i="12" s="1"/>
  <c r="C6" i="10"/>
  <c r="E3" i="13" s="1"/>
  <c r="D7" i="10"/>
  <c r="I25" i="13" l="1"/>
  <c r="A22" i="12"/>
  <c r="Z2" i="13"/>
  <c r="I24" i="13"/>
  <c r="C24" i="13"/>
  <c r="E10" i="13"/>
  <c r="Q27" i="13"/>
  <c r="Q23" i="12" s="1"/>
  <c r="P27" i="13"/>
  <c r="G23" i="12" s="1"/>
  <c r="B27" i="13"/>
  <c r="R27" i="13"/>
  <c r="R23" i="12" s="1"/>
  <c r="AA2" i="13"/>
  <c r="N3" i="3"/>
  <c r="A23" i="12" l="1"/>
  <c r="S24" i="13"/>
  <c r="D20" i="12"/>
  <c r="P28" i="13"/>
  <c r="G24" i="12" s="1"/>
  <c r="B28" i="13"/>
  <c r="C27" i="13"/>
  <c r="D27" i="13" s="1"/>
  <c r="R28" i="13"/>
  <c r="R24" i="12" s="1"/>
  <c r="Q28" i="13"/>
  <c r="Q24" i="12" s="1"/>
  <c r="C26" i="13"/>
  <c r="D26" i="13" s="1"/>
  <c r="C25" i="13"/>
  <c r="D25" i="13" s="1"/>
  <c r="D24" i="13"/>
  <c r="D8" i="3"/>
  <c r="E25" i="13" l="1"/>
  <c r="C21" i="12" s="1"/>
  <c r="B23" i="12"/>
  <c r="E27" i="13"/>
  <c r="C23" i="12" s="1"/>
  <c r="B22" i="12"/>
  <c r="E26" i="13"/>
  <c r="C22" i="12" s="1"/>
  <c r="B21" i="12"/>
  <c r="A24" i="12"/>
  <c r="T27" i="13"/>
  <c r="U27" i="13" s="1"/>
  <c r="V27" i="13"/>
  <c r="W27" i="13" s="1"/>
  <c r="V26" i="13"/>
  <c r="W26" i="13" s="1"/>
  <c r="T26" i="13"/>
  <c r="U26" i="13" s="1"/>
  <c r="O29" i="13"/>
  <c r="R29" i="13"/>
  <c r="R25" i="12" s="1"/>
  <c r="Q29" i="13"/>
  <c r="Q25" i="12" s="1"/>
  <c r="P29" i="13"/>
  <c r="G25" i="12" s="1"/>
  <c r="B29" i="13"/>
  <c r="C28" i="13"/>
  <c r="D28" i="13" s="1"/>
  <c r="V25" i="13"/>
  <c r="W25" i="13" s="1"/>
  <c r="T25" i="13"/>
  <c r="U25" i="13" s="1"/>
  <c r="D3" i="3"/>
  <c r="D10" i="3" s="1"/>
  <c r="B24" i="12" l="1"/>
  <c r="E28" i="13"/>
  <c r="C24" i="12" s="1"/>
  <c r="A25" i="12"/>
  <c r="X25" i="13"/>
  <c r="T28" i="13"/>
  <c r="U28" i="13" s="1"/>
  <c r="V28" i="13"/>
  <c r="W28" i="13" s="1"/>
  <c r="U24" i="13"/>
  <c r="Q30" i="13"/>
  <c r="Q26" i="12" s="1"/>
  <c r="P30" i="13"/>
  <c r="G26" i="12" s="1"/>
  <c r="M29" i="13"/>
  <c r="O30" i="13"/>
  <c r="B30" i="13"/>
  <c r="K29" i="13"/>
  <c r="C29" i="13"/>
  <c r="D29" i="13" s="1"/>
  <c r="R30" i="13"/>
  <c r="R26" i="12" s="1"/>
  <c r="N30" i="13"/>
  <c r="I26" i="12" s="1"/>
  <c r="J29" i="13"/>
  <c r="X26" i="13"/>
  <c r="X27" i="13"/>
  <c r="G8" i="3"/>
  <c r="A20" i="10"/>
  <c r="A19" i="10"/>
  <c r="R20" i="10"/>
  <c r="R21" i="10"/>
  <c r="R19" i="10"/>
  <c r="Q19" i="10"/>
  <c r="O20" i="10"/>
  <c r="O21" i="10"/>
  <c r="O22" i="10"/>
  <c r="O23" i="10"/>
  <c r="O24" i="10"/>
  <c r="O25" i="10"/>
  <c r="O26" i="10"/>
  <c r="O27" i="10"/>
  <c r="O28" i="10"/>
  <c r="O29" i="10"/>
  <c r="O30" i="10"/>
  <c r="O31" i="10"/>
  <c r="O33" i="10"/>
  <c r="O34" i="10"/>
  <c r="O35" i="10"/>
  <c r="O36" i="10"/>
  <c r="O37" i="10"/>
  <c r="O38" i="10"/>
  <c r="O39" i="10"/>
  <c r="O40" i="10"/>
  <c r="O41" i="10"/>
  <c r="O42" i="10"/>
  <c r="O43" i="10"/>
  <c r="O45" i="10"/>
  <c r="O46" i="10"/>
  <c r="O47" i="10"/>
  <c r="O48" i="10"/>
  <c r="O49" i="10"/>
  <c r="O50" i="10"/>
  <c r="O51" i="10"/>
  <c r="O52" i="10"/>
  <c r="O53" i="10"/>
  <c r="O54" i="10"/>
  <c r="O55" i="10"/>
  <c r="O57" i="10"/>
  <c r="O58" i="10"/>
  <c r="O59" i="10"/>
  <c r="O60" i="10"/>
  <c r="O61" i="10"/>
  <c r="O62" i="10"/>
  <c r="O63" i="10"/>
  <c r="O64" i="10"/>
  <c r="O65" i="10"/>
  <c r="O66" i="10"/>
  <c r="O67" i="10"/>
  <c r="O69" i="10"/>
  <c r="O70" i="10"/>
  <c r="O71" i="10"/>
  <c r="O72" i="10"/>
  <c r="O73" i="10"/>
  <c r="O74" i="10"/>
  <c r="O75" i="10"/>
  <c r="O76" i="10"/>
  <c r="O77" i="10"/>
  <c r="O78" i="10"/>
  <c r="O79" i="10"/>
  <c r="N20" i="10"/>
  <c r="N21" i="10"/>
  <c r="N22" i="10"/>
  <c r="N23" i="10"/>
  <c r="M20" i="10"/>
  <c r="M21" i="10"/>
  <c r="M22" i="10"/>
  <c r="M23" i="10"/>
  <c r="I20" i="10"/>
  <c r="I21" i="10"/>
  <c r="I22" i="10"/>
  <c r="I23" i="10"/>
  <c r="I24" i="10"/>
  <c r="N10" i="3"/>
  <c r="N9" i="3"/>
  <c r="N8" i="3"/>
  <c r="N7" i="3"/>
  <c r="N5" i="3"/>
  <c r="B38" i="1" s="1"/>
  <c r="D9" i="3"/>
  <c r="D6" i="3"/>
  <c r="F25" i="3" l="1"/>
  <c r="G25" i="3"/>
  <c r="B25" i="12"/>
  <c r="E29" i="13"/>
  <c r="C25" i="12" s="1"/>
  <c r="A26" i="12"/>
  <c r="G9" i="3"/>
  <c r="F21" i="12"/>
  <c r="V29" i="13"/>
  <c r="W29" i="13" s="1"/>
  <c r="T29" i="13"/>
  <c r="U29" i="13" s="1"/>
  <c r="X28" i="13"/>
  <c r="O31" i="13"/>
  <c r="B31" i="13"/>
  <c r="M30" i="13"/>
  <c r="R31" i="13"/>
  <c r="R27" i="12" s="1"/>
  <c r="N31" i="13"/>
  <c r="I27" i="12" s="1"/>
  <c r="K30" i="13"/>
  <c r="C30" i="13"/>
  <c r="D30" i="13" s="1"/>
  <c r="Q31" i="13"/>
  <c r="Q27" i="12" s="1"/>
  <c r="J30" i="13"/>
  <c r="P31" i="13"/>
  <c r="G27" i="12" s="1"/>
  <c r="O10" i="3"/>
  <c r="O26" i="3"/>
  <c r="G21" i="10" s="1"/>
  <c r="B26" i="12" l="1"/>
  <c r="E30" i="13"/>
  <c r="C26" i="12" s="1"/>
  <c r="A27" i="12"/>
  <c r="E21" i="12"/>
  <c r="F25" i="13"/>
  <c r="T30" i="13"/>
  <c r="U30" i="13" s="1"/>
  <c r="V30" i="13"/>
  <c r="W30" i="13" s="1"/>
  <c r="Q32" i="13"/>
  <c r="Q28" i="12" s="1"/>
  <c r="J31" i="13"/>
  <c r="P32" i="13"/>
  <c r="G28" i="12" s="1"/>
  <c r="O32" i="13"/>
  <c r="B32" i="13"/>
  <c r="M31" i="13"/>
  <c r="R32" i="13"/>
  <c r="R28" i="12" s="1"/>
  <c r="N32" i="13"/>
  <c r="I28" i="12" s="1"/>
  <c r="K31" i="13"/>
  <c r="C31" i="13"/>
  <c r="D31" i="13" s="1"/>
  <c r="X29" i="13"/>
  <c r="P26" i="3"/>
  <c r="Q21" i="10" s="1"/>
  <c r="G26" i="13" l="1"/>
  <c r="H26" i="13"/>
  <c r="F22" i="12" s="1"/>
  <c r="H27" i="13"/>
  <c r="G27" i="13"/>
  <c r="H28" i="13"/>
  <c r="G28" i="13"/>
  <c r="H29" i="13"/>
  <c r="G29" i="13"/>
  <c r="H30" i="13"/>
  <c r="G30" i="13"/>
  <c r="H31" i="13"/>
  <c r="G31" i="13"/>
  <c r="H33" i="13"/>
  <c r="G33" i="13"/>
  <c r="G32" i="13"/>
  <c r="H32" i="13"/>
  <c r="B27" i="12"/>
  <c r="E31" i="13"/>
  <c r="C27" i="12" s="1"/>
  <c r="S25" i="13"/>
  <c r="A28" i="12"/>
  <c r="H9" i="13"/>
  <c r="D21" i="12"/>
  <c r="X30" i="13"/>
  <c r="V31" i="13"/>
  <c r="W31" i="13" s="1"/>
  <c r="T31" i="13"/>
  <c r="U31" i="13" s="1"/>
  <c r="O33" i="13"/>
  <c r="B33" i="13"/>
  <c r="M32" i="13"/>
  <c r="R33" i="13"/>
  <c r="R29" i="12" s="1"/>
  <c r="N33" i="13"/>
  <c r="I29" i="12" s="1"/>
  <c r="K32" i="13"/>
  <c r="C32" i="13"/>
  <c r="D32" i="13" s="1"/>
  <c r="Q33" i="13"/>
  <c r="Q29" i="12" s="1"/>
  <c r="J32" i="13"/>
  <c r="P33" i="13"/>
  <c r="G29" i="12" s="1"/>
  <c r="B24" i="3"/>
  <c r="C24" i="3" s="1"/>
  <c r="P25" i="3" s="1"/>
  <c r="Q20" i="10" s="1"/>
  <c r="A26" i="3"/>
  <c r="J24" i="3"/>
  <c r="H34" i="13" l="1"/>
  <c r="G34" i="13"/>
  <c r="G26" i="3"/>
  <c r="F26" i="3"/>
  <c r="A21" i="10"/>
  <c r="B28" i="12"/>
  <c r="E32" i="13"/>
  <c r="C28" i="12" s="1"/>
  <c r="A29" i="12"/>
  <c r="N19" i="10"/>
  <c r="N20" i="12"/>
  <c r="F26" i="13"/>
  <c r="T32" i="13"/>
  <c r="U32" i="13" s="1"/>
  <c r="V32" i="13"/>
  <c r="W32" i="13" s="1"/>
  <c r="Q34" i="13"/>
  <c r="Q30" i="12" s="1"/>
  <c r="J33" i="13"/>
  <c r="P34" i="13"/>
  <c r="G30" i="12" s="1"/>
  <c r="O34" i="13"/>
  <c r="B34" i="13"/>
  <c r="M33" i="13"/>
  <c r="R34" i="13"/>
  <c r="R30" i="12" s="1"/>
  <c r="N34" i="13"/>
  <c r="I30" i="12" s="1"/>
  <c r="K33" i="13"/>
  <c r="C33" i="13"/>
  <c r="D33" i="13" s="1"/>
  <c r="X31" i="13"/>
  <c r="O27" i="3"/>
  <c r="G22" i="10" s="1"/>
  <c r="A27" i="3"/>
  <c r="Q27" i="3"/>
  <c r="P27" i="3"/>
  <c r="Q22" i="10" s="1"/>
  <c r="L24" i="3"/>
  <c r="H35" i="13" l="1"/>
  <c r="G35" i="13"/>
  <c r="G27" i="3"/>
  <c r="F27" i="3"/>
  <c r="A22" i="10"/>
  <c r="B29" i="12"/>
  <c r="E33" i="13"/>
  <c r="C29" i="12" s="1"/>
  <c r="A30" i="12"/>
  <c r="E22" i="12"/>
  <c r="I26" i="13"/>
  <c r="F27" i="13"/>
  <c r="F23" i="12"/>
  <c r="V33" i="13"/>
  <c r="W33" i="13" s="1"/>
  <c r="T33" i="13"/>
  <c r="U33" i="13" s="1"/>
  <c r="O35" i="13"/>
  <c r="B35" i="13"/>
  <c r="M34" i="13"/>
  <c r="R35" i="13"/>
  <c r="R31" i="12" s="1"/>
  <c r="N35" i="13"/>
  <c r="I31" i="12" s="1"/>
  <c r="K34" i="13"/>
  <c r="C34" i="13"/>
  <c r="D34" i="13" s="1"/>
  <c r="Q35" i="13"/>
  <c r="Q31" i="12" s="1"/>
  <c r="J34" i="13"/>
  <c r="P35" i="13"/>
  <c r="G31" i="12" s="1"/>
  <c r="X32" i="13"/>
  <c r="R22" i="10"/>
  <c r="O28" i="3"/>
  <c r="G23" i="10" s="1"/>
  <c r="B27" i="3"/>
  <c r="A28" i="3"/>
  <c r="P28" i="3"/>
  <c r="Q23" i="10" s="1"/>
  <c r="Q28" i="3"/>
  <c r="R23" i="10" s="1"/>
  <c r="N24" i="3"/>
  <c r="H36" i="13" l="1"/>
  <c r="G36" i="13"/>
  <c r="F28" i="3"/>
  <c r="G28" i="3"/>
  <c r="A23" i="10"/>
  <c r="B30" i="12"/>
  <c r="E34" i="13"/>
  <c r="C30" i="12" s="1"/>
  <c r="D22" i="12"/>
  <c r="A31" i="12"/>
  <c r="S26" i="13"/>
  <c r="I27" i="13"/>
  <c r="E23" i="12"/>
  <c r="X33" i="13"/>
  <c r="T34" i="13"/>
  <c r="U34" i="13" s="1"/>
  <c r="V34" i="13"/>
  <c r="W34" i="13" s="1"/>
  <c r="Q36" i="13"/>
  <c r="Q32" i="12" s="1"/>
  <c r="J35" i="13"/>
  <c r="P36" i="13"/>
  <c r="G32" i="12" s="1"/>
  <c r="O36" i="13"/>
  <c r="B36" i="13"/>
  <c r="M35" i="13"/>
  <c r="R36" i="13"/>
  <c r="R32" i="12" s="1"/>
  <c r="N36" i="13"/>
  <c r="I32" i="12" s="1"/>
  <c r="K35" i="13"/>
  <c r="C35" i="13"/>
  <c r="D35" i="13" s="1"/>
  <c r="C27" i="3"/>
  <c r="B28" i="3"/>
  <c r="C28" i="3" s="1"/>
  <c r="O29" i="3"/>
  <c r="G24" i="10" s="1"/>
  <c r="A29" i="3"/>
  <c r="G29" i="3" s="1"/>
  <c r="Q29" i="3"/>
  <c r="P29" i="3"/>
  <c r="Q24" i="10" s="1"/>
  <c r="N29" i="3"/>
  <c r="D53" i="1"/>
  <c r="H37" i="13" l="1"/>
  <c r="G37" i="13"/>
  <c r="F29" i="3"/>
  <c r="D28" i="3"/>
  <c r="M30" i="3"/>
  <c r="I25" i="10" s="1"/>
  <c r="B31" i="12"/>
  <c r="E35" i="13"/>
  <c r="C31" i="12" s="1"/>
  <c r="A32" i="12"/>
  <c r="F28" i="13"/>
  <c r="F24" i="12"/>
  <c r="S27" i="13"/>
  <c r="D23" i="12"/>
  <c r="V35" i="13"/>
  <c r="W35" i="13" s="1"/>
  <c r="T35" i="13"/>
  <c r="U35" i="13" s="1"/>
  <c r="X34" i="13"/>
  <c r="N37" i="13"/>
  <c r="I33" i="12" s="1"/>
  <c r="B37" i="13"/>
  <c r="M36" i="13"/>
  <c r="K36" i="13"/>
  <c r="C36" i="13"/>
  <c r="D36" i="13" s="1"/>
  <c r="P37" i="13"/>
  <c r="G33" i="12" s="1"/>
  <c r="J36" i="13"/>
  <c r="O37" i="13"/>
  <c r="K37" i="13"/>
  <c r="R24" i="10"/>
  <c r="B29" i="3"/>
  <c r="C29" i="3" s="1"/>
  <c r="D29" i="3" s="1"/>
  <c r="J29" i="3"/>
  <c r="N25" i="12" s="1"/>
  <c r="A24" i="10"/>
  <c r="N30" i="3"/>
  <c r="O30" i="3"/>
  <c r="G25" i="10" s="1"/>
  <c r="A30" i="3"/>
  <c r="D51" i="1"/>
  <c r="H38" i="13" l="1"/>
  <c r="G38" i="13"/>
  <c r="G30" i="3"/>
  <c r="F30" i="3"/>
  <c r="B32" i="12"/>
  <c r="E36" i="13"/>
  <c r="C32" i="12" s="1"/>
  <c r="A33" i="12"/>
  <c r="I28" i="13"/>
  <c r="E24" i="12"/>
  <c r="T36" i="13"/>
  <c r="U36" i="13" s="1"/>
  <c r="V36" i="13"/>
  <c r="W36" i="13" s="1"/>
  <c r="P38" i="13"/>
  <c r="G34" i="12" s="1"/>
  <c r="K38" i="13"/>
  <c r="J37" i="13"/>
  <c r="O38" i="13"/>
  <c r="J38" i="13"/>
  <c r="B38" i="13"/>
  <c r="M37" i="13"/>
  <c r="R38" i="13"/>
  <c r="R34" i="12" s="1"/>
  <c r="N38" i="13"/>
  <c r="I34" i="12" s="1"/>
  <c r="Q38" i="13"/>
  <c r="Q34" i="12" s="1"/>
  <c r="M38" i="13"/>
  <c r="C37" i="13"/>
  <c r="D37" i="13" s="1"/>
  <c r="X35" i="13"/>
  <c r="J30" i="3"/>
  <c r="N26" i="12" s="1"/>
  <c r="A25" i="10"/>
  <c r="B30" i="3"/>
  <c r="C30" i="3" s="1"/>
  <c r="D30" i="3" s="1"/>
  <c r="O31" i="3"/>
  <c r="G26" i="10" s="1"/>
  <c r="A31" i="3"/>
  <c r="N31" i="3"/>
  <c r="M31" i="3"/>
  <c r="I26" i="10" s="1"/>
  <c r="D68" i="1"/>
  <c r="D69" i="1" s="1"/>
  <c r="B67" i="1" s="1"/>
  <c r="H39" i="13" l="1"/>
  <c r="G39" i="13"/>
  <c r="G31" i="3"/>
  <c r="F31" i="3"/>
  <c r="B33" i="12"/>
  <c r="E37" i="13"/>
  <c r="C33" i="12" s="1"/>
  <c r="A34" i="12"/>
  <c r="F29" i="13"/>
  <c r="F25" i="12"/>
  <c r="S28" i="13"/>
  <c r="D24" i="12"/>
  <c r="V37" i="13"/>
  <c r="W37" i="13" s="1"/>
  <c r="T37" i="13"/>
  <c r="U37" i="13" s="1"/>
  <c r="R39" i="13"/>
  <c r="R35" i="12" s="1"/>
  <c r="N39" i="13"/>
  <c r="I35" i="12" s="1"/>
  <c r="C38" i="13"/>
  <c r="D38" i="13" s="1"/>
  <c r="Q39" i="13"/>
  <c r="Q35" i="12" s="1"/>
  <c r="M39" i="13"/>
  <c r="P39" i="13"/>
  <c r="G35" i="12" s="1"/>
  <c r="K39" i="13"/>
  <c r="O39" i="13"/>
  <c r="J39" i="13"/>
  <c r="B39" i="13"/>
  <c r="X36" i="13"/>
  <c r="J31" i="3"/>
  <c r="N27" i="12" s="1"/>
  <c r="A26" i="10"/>
  <c r="B31" i="3"/>
  <c r="C31" i="3" s="1"/>
  <c r="D31" i="3" s="1"/>
  <c r="O32" i="3"/>
  <c r="G27" i="10" s="1"/>
  <c r="A32" i="3"/>
  <c r="N32" i="3"/>
  <c r="M32" i="3"/>
  <c r="I27" i="10" s="1"/>
  <c r="A67" i="1"/>
  <c r="H40" i="13" l="1"/>
  <c r="G40" i="13"/>
  <c r="G32" i="3"/>
  <c r="F32" i="3"/>
  <c r="B34" i="12"/>
  <c r="E38" i="13"/>
  <c r="C34" i="12" s="1"/>
  <c r="A35" i="12"/>
  <c r="F26" i="12"/>
  <c r="I29" i="13"/>
  <c r="E25" i="12"/>
  <c r="T38" i="13"/>
  <c r="U38" i="13" s="1"/>
  <c r="V38" i="13"/>
  <c r="W38" i="13" s="1"/>
  <c r="X37" i="13"/>
  <c r="F30" i="13"/>
  <c r="P40" i="13"/>
  <c r="G36" i="12" s="1"/>
  <c r="K40" i="13"/>
  <c r="O40" i="13"/>
  <c r="J40" i="13"/>
  <c r="B40" i="13"/>
  <c r="R40" i="13"/>
  <c r="R36" i="12" s="1"/>
  <c r="N40" i="13"/>
  <c r="I36" i="12" s="1"/>
  <c r="C39" i="13"/>
  <c r="D39" i="13" s="1"/>
  <c r="Q40" i="13"/>
  <c r="Q36" i="12" s="1"/>
  <c r="M40" i="13"/>
  <c r="J32" i="3"/>
  <c r="N28" i="12" s="1"/>
  <c r="A27" i="10"/>
  <c r="B32" i="3"/>
  <c r="C32" i="3" s="1"/>
  <c r="D32" i="3" s="1"/>
  <c r="O33" i="3"/>
  <c r="G28" i="10" s="1"/>
  <c r="A33" i="3"/>
  <c r="M33" i="3"/>
  <c r="I28" i="10" s="1"/>
  <c r="N33" i="3"/>
  <c r="H41" i="13" l="1"/>
  <c r="G41" i="13"/>
  <c r="G33" i="3"/>
  <c r="F33" i="3"/>
  <c r="A28" i="10"/>
  <c r="B35" i="12"/>
  <c r="E39" i="13"/>
  <c r="C35" i="12" s="1"/>
  <c r="A36" i="12"/>
  <c r="S29" i="13"/>
  <c r="D25" i="12"/>
  <c r="I30" i="13"/>
  <c r="E26" i="12"/>
  <c r="V39" i="13"/>
  <c r="W39" i="13" s="1"/>
  <c r="T39" i="13"/>
  <c r="U39" i="13" s="1"/>
  <c r="X38" i="13"/>
  <c r="R41" i="13"/>
  <c r="R37" i="12" s="1"/>
  <c r="N41" i="13"/>
  <c r="I37" i="12" s="1"/>
  <c r="C40" i="13"/>
  <c r="D40" i="13" s="1"/>
  <c r="Q41" i="13"/>
  <c r="Q37" i="12" s="1"/>
  <c r="M41" i="13"/>
  <c r="P41" i="13"/>
  <c r="G37" i="12" s="1"/>
  <c r="K41" i="13"/>
  <c r="O41" i="13"/>
  <c r="J41" i="13"/>
  <c r="B41" i="13"/>
  <c r="A34" i="3"/>
  <c r="J33" i="3"/>
  <c r="N29" i="12" s="1"/>
  <c r="O34" i="3"/>
  <c r="G29" i="10" s="1"/>
  <c r="N34" i="3"/>
  <c r="M34" i="3"/>
  <c r="I29" i="10" s="1"/>
  <c r="B33" i="3"/>
  <c r="C33" i="3" s="1"/>
  <c r="D33" i="3" s="1"/>
  <c r="P3" i="3"/>
  <c r="B37" i="1" s="1"/>
  <c r="H42" i="13" l="1"/>
  <c r="G42" i="13"/>
  <c r="G34" i="3"/>
  <c r="F34" i="3"/>
  <c r="A35" i="3"/>
  <c r="B36" i="12"/>
  <c r="E40" i="13"/>
  <c r="C36" i="12" s="1"/>
  <c r="A37" i="12"/>
  <c r="S30" i="13"/>
  <c r="D26" i="12"/>
  <c r="F31" i="13"/>
  <c r="F27" i="12"/>
  <c r="X39" i="13"/>
  <c r="P42" i="13"/>
  <c r="G38" i="12" s="1"/>
  <c r="K42" i="13"/>
  <c r="O42" i="13"/>
  <c r="J42" i="13"/>
  <c r="B42" i="13"/>
  <c r="R42" i="13"/>
  <c r="R38" i="12" s="1"/>
  <c r="N42" i="13"/>
  <c r="I38" i="12" s="1"/>
  <c r="C41" i="13"/>
  <c r="D41" i="13" s="1"/>
  <c r="Q42" i="13"/>
  <c r="Q38" i="12" s="1"/>
  <c r="M42" i="13"/>
  <c r="T40" i="13"/>
  <c r="U40" i="13" s="1"/>
  <c r="V40" i="13"/>
  <c r="W40" i="13" s="1"/>
  <c r="O35" i="3"/>
  <c r="G30" i="10" s="1"/>
  <c r="J34" i="3"/>
  <c r="N30" i="12" s="1"/>
  <c r="A29" i="10"/>
  <c r="N35" i="3"/>
  <c r="M35" i="3"/>
  <c r="I30" i="10" s="1"/>
  <c r="B34" i="3"/>
  <c r="C34" i="3" s="1"/>
  <c r="D34" i="3" s="1"/>
  <c r="E12" i="3"/>
  <c r="O8" i="3"/>
  <c r="H43" i="13" l="1"/>
  <c r="G43" i="13"/>
  <c r="M36" i="3"/>
  <c r="I31" i="10" s="1"/>
  <c r="A36" i="3"/>
  <c r="B36" i="3" s="1"/>
  <c r="C36" i="3" s="1"/>
  <c r="O36" i="3"/>
  <c r="G31" i="10" s="1"/>
  <c r="G35" i="3"/>
  <c r="N36" i="3"/>
  <c r="B35" i="3"/>
  <c r="C35" i="3" s="1"/>
  <c r="D35" i="3" s="1"/>
  <c r="J35" i="3"/>
  <c r="N30" i="10" s="1"/>
  <c r="F35" i="3"/>
  <c r="A30" i="10"/>
  <c r="B37" i="12"/>
  <c r="E41" i="13"/>
  <c r="C37" i="12" s="1"/>
  <c r="A38" i="12"/>
  <c r="F32" i="13"/>
  <c r="F28" i="12"/>
  <c r="I31" i="13"/>
  <c r="E27" i="12"/>
  <c r="V41" i="13"/>
  <c r="W41" i="13" s="1"/>
  <c r="T41" i="13"/>
  <c r="U41" i="13" s="1"/>
  <c r="R43" i="13"/>
  <c r="R39" i="12" s="1"/>
  <c r="N43" i="13"/>
  <c r="I39" i="12" s="1"/>
  <c r="C42" i="13"/>
  <c r="D42" i="13" s="1"/>
  <c r="Q43" i="13"/>
  <c r="Q39" i="12" s="1"/>
  <c r="M43" i="13"/>
  <c r="P43" i="13"/>
  <c r="G39" i="12" s="1"/>
  <c r="K43" i="13"/>
  <c r="O43" i="13"/>
  <c r="J43" i="13"/>
  <c r="B43" i="13"/>
  <c r="X40" i="13"/>
  <c r="A31" i="10"/>
  <c r="A37" i="3" l="1"/>
  <c r="O38" i="3" s="1"/>
  <c r="G33" i="10" s="1"/>
  <c r="N37" i="3"/>
  <c r="H44" i="13"/>
  <c r="G44" i="13"/>
  <c r="J36" i="3"/>
  <c r="N32" i="12" s="1"/>
  <c r="F36" i="3"/>
  <c r="G36" i="3"/>
  <c r="N31" i="12"/>
  <c r="D36" i="3"/>
  <c r="B38" i="12"/>
  <c r="E42" i="13"/>
  <c r="C38" i="12" s="1"/>
  <c r="A39" i="12"/>
  <c r="S31" i="13"/>
  <c r="D27" i="12"/>
  <c r="I32" i="13"/>
  <c r="E28" i="12"/>
  <c r="T42" i="13"/>
  <c r="U42" i="13" s="1"/>
  <c r="V42" i="13"/>
  <c r="W42" i="13" s="1"/>
  <c r="X41" i="13"/>
  <c r="P44" i="13"/>
  <c r="G40" i="12" s="1"/>
  <c r="K44" i="13"/>
  <c r="O44" i="13"/>
  <c r="J44" i="13"/>
  <c r="B44" i="13"/>
  <c r="R44" i="13"/>
  <c r="R40" i="12" s="1"/>
  <c r="N44" i="13"/>
  <c r="I40" i="12" s="1"/>
  <c r="C43" i="13"/>
  <c r="D43" i="13" s="1"/>
  <c r="Q44" i="13"/>
  <c r="Q40" i="12" s="1"/>
  <c r="M44" i="13"/>
  <c r="J37" i="3"/>
  <c r="E51" i="1"/>
  <c r="B51" i="1" s="1"/>
  <c r="E53" i="1"/>
  <c r="B53" i="1" s="1"/>
  <c r="E24" i="1"/>
  <c r="B24" i="1" s="1"/>
  <c r="N38" i="3" l="1"/>
  <c r="B37" i="3"/>
  <c r="C37" i="3" s="1"/>
  <c r="D37" i="3" s="1"/>
  <c r="G37" i="3"/>
  <c r="F37" i="3"/>
  <c r="P38" i="3"/>
  <c r="Q33" i="10" s="1"/>
  <c r="J38" i="3"/>
  <c r="N34" i="12" s="1"/>
  <c r="A38" i="3"/>
  <c r="Q38" i="3"/>
  <c r="R33" i="10" s="1"/>
  <c r="A32" i="10"/>
  <c r="M38" i="3"/>
  <c r="I33" i="10" s="1"/>
  <c r="G38" i="3"/>
  <c r="N31" i="10"/>
  <c r="H45" i="13"/>
  <c r="G45" i="13"/>
  <c r="F38" i="3"/>
  <c r="A33" i="10"/>
  <c r="B39" i="12"/>
  <c r="E43" i="13"/>
  <c r="C39" i="12" s="1"/>
  <c r="A40" i="12"/>
  <c r="N32" i="10"/>
  <c r="N33" i="12"/>
  <c r="S32" i="13"/>
  <c r="D28" i="12"/>
  <c r="F33" i="13"/>
  <c r="F29" i="12"/>
  <c r="V43" i="13"/>
  <c r="W43" i="13" s="1"/>
  <c r="T43" i="13"/>
  <c r="U43" i="13" s="1"/>
  <c r="X42" i="13"/>
  <c r="R45" i="13"/>
  <c r="R41" i="12" s="1"/>
  <c r="N45" i="13"/>
  <c r="I41" i="12" s="1"/>
  <c r="C44" i="13"/>
  <c r="D44" i="13" s="1"/>
  <c r="Q45" i="13"/>
  <c r="Q41" i="12" s="1"/>
  <c r="M45" i="13"/>
  <c r="P45" i="13"/>
  <c r="G41" i="12" s="1"/>
  <c r="K45" i="13"/>
  <c r="O45" i="13"/>
  <c r="J45" i="13"/>
  <c r="B45" i="13"/>
  <c r="J39" i="3"/>
  <c r="N35" i="12" s="1"/>
  <c r="B38" i="3"/>
  <c r="C38" i="3" s="1"/>
  <c r="O39" i="3"/>
  <c r="G34" i="10" s="1"/>
  <c r="Q39" i="3"/>
  <c r="R34" i="10" s="1"/>
  <c r="P39" i="3"/>
  <c r="Q34" i="10" s="1"/>
  <c r="N39" i="3"/>
  <c r="M39" i="3"/>
  <c r="I34" i="10" s="1"/>
  <c r="A39" i="3"/>
  <c r="G39" i="3" s="1"/>
  <c r="D38" i="3" l="1"/>
  <c r="N33" i="10"/>
  <c r="H46" i="13"/>
  <c r="G46" i="13"/>
  <c r="F39" i="3"/>
  <c r="A34" i="10"/>
  <c r="B40" i="12"/>
  <c r="E44" i="13"/>
  <c r="C40" i="12" s="1"/>
  <c r="A41" i="12"/>
  <c r="I33" i="13"/>
  <c r="E29" i="12"/>
  <c r="X43" i="13"/>
  <c r="T44" i="13"/>
  <c r="U44" i="13" s="1"/>
  <c r="V44" i="13"/>
  <c r="W44" i="13" s="1"/>
  <c r="P46" i="13"/>
  <c r="G42" i="12" s="1"/>
  <c r="K46" i="13"/>
  <c r="O46" i="13"/>
  <c r="J46" i="13"/>
  <c r="B46" i="13"/>
  <c r="R46" i="13"/>
  <c r="R42" i="12" s="1"/>
  <c r="N46" i="13"/>
  <c r="I42" i="12" s="1"/>
  <c r="C45" i="13"/>
  <c r="D45" i="13" s="1"/>
  <c r="Q46" i="13"/>
  <c r="Q42" i="12" s="1"/>
  <c r="M46" i="13"/>
  <c r="N34" i="10"/>
  <c r="J40" i="3"/>
  <c r="N36" i="12" s="1"/>
  <c r="B39" i="3"/>
  <c r="C39" i="3" s="1"/>
  <c r="D39" i="3" s="1"/>
  <c r="O40" i="3"/>
  <c r="G35" i="10" s="1"/>
  <c r="Q40" i="3"/>
  <c r="R35" i="10" s="1"/>
  <c r="P40" i="3"/>
  <c r="Q35" i="10" s="1"/>
  <c r="N40" i="3"/>
  <c r="M40" i="3"/>
  <c r="I35" i="10" s="1"/>
  <c r="A40" i="3"/>
  <c r="P9" i="3"/>
  <c r="G40" i="3" l="1"/>
  <c r="H47" i="13"/>
  <c r="G47" i="13"/>
  <c r="F40" i="3"/>
  <c r="A35" i="10"/>
  <c r="B41" i="12"/>
  <c r="E45" i="13"/>
  <c r="C41" i="12" s="1"/>
  <c r="A42" i="12"/>
  <c r="F34" i="13"/>
  <c r="F30" i="12"/>
  <c r="S33" i="13"/>
  <c r="D29" i="12"/>
  <c r="V45" i="13"/>
  <c r="W45" i="13" s="1"/>
  <c r="T45" i="13"/>
  <c r="U45" i="13" s="1"/>
  <c r="X44" i="13"/>
  <c r="R47" i="13"/>
  <c r="R43" i="12" s="1"/>
  <c r="N47" i="13"/>
  <c r="I43" i="12" s="1"/>
  <c r="C46" i="13"/>
  <c r="D46" i="13" s="1"/>
  <c r="Q47" i="13"/>
  <c r="Q43" i="12" s="1"/>
  <c r="M47" i="13"/>
  <c r="P47" i="13"/>
  <c r="G43" i="12" s="1"/>
  <c r="K47" i="13"/>
  <c r="O47" i="13"/>
  <c r="J47" i="13"/>
  <c r="B47" i="13"/>
  <c r="N35" i="10"/>
  <c r="J41" i="3"/>
  <c r="N37" i="12" s="1"/>
  <c r="B40" i="3"/>
  <c r="C40" i="3" s="1"/>
  <c r="D40" i="3" s="1"/>
  <c r="O41" i="3"/>
  <c r="G36" i="10" s="1"/>
  <c r="E24" i="3"/>
  <c r="Q41" i="3"/>
  <c r="R36" i="10" s="1"/>
  <c r="P41" i="3"/>
  <c r="Q36" i="10" s="1"/>
  <c r="M41" i="3"/>
  <c r="I36" i="10" s="1"/>
  <c r="N41" i="3"/>
  <c r="A41" i="3"/>
  <c r="P4" i="3"/>
  <c r="N4" i="3"/>
  <c r="S265" i="3"/>
  <c r="G41" i="3" l="1"/>
  <c r="H48" i="13"/>
  <c r="G48" i="13"/>
  <c r="F41" i="3"/>
  <c r="A36" i="10"/>
  <c r="B42" i="12"/>
  <c r="E46" i="13"/>
  <c r="C42" i="12" s="1"/>
  <c r="A43" i="12"/>
  <c r="I34" i="13"/>
  <c r="E30" i="12"/>
  <c r="T46" i="13"/>
  <c r="U46" i="13" s="1"/>
  <c r="V46" i="13"/>
  <c r="W46" i="13" s="1"/>
  <c r="P48" i="13"/>
  <c r="G44" i="12" s="1"/>
  <c r="K48" i="13"/>
  <c r="O48" i="13"/>
  <c r="J48" i="13"/>
  <c r="B48" i="13"/>
  <c r="R48" i="13"/>
  <c r="R44" i="12" s="1"/>
  <c r="N48" i="13"/>
  <c r="I44" i="12" s="1"/>
  <c r="C47" i="13"/>
  <c r="D47" i="13" s="1"/>
  <c r="Q48" i="13"/>
  <c r="Q44" i="12" s="1"/>
  <c r="M48" i="13"/>
  <c r="X45" i="13"/>
  <c r="N36" i="10"/>
  <c r="J42" i="3"/>
  <c r="N38" i="12" s="1"/>
  <c r="B41" i="3"/>
  <c r="C41" i="3" s="1"/>
  <c r="D41" i="3" s="1"/>
  <c r="O42" i="3"/>
  <c r="G37" i="10" s="1"/>
  <c r="Q42" i="3"/>
  <c r="R37" i="10" s="1"/>
  <c r="P42" i="3"/>
  <c r="Q37" i="10" s="1"/>
  <c r="N42" i="3"/>
  <c r="M42" i="3"/>
  <c r="I37" i="10" s="1"/>
  <c r="A42" i="3"/>
  <c r="G42" i="3" s="1"/>
  <c r="K24" i="3"/>
  <c r="Y2" i="3"/>
  <c r="H49" i="13" l="1"/>
  <c r="G49" i="13"/>
  <c r="F42" i="3"/>
  <c r="A37" i="10"/>
  <c r="B43" i="12"/>
  <c r="E47" i="13"/>
  <c r="C43" i="12" s="1"/>
  <c r="A44" i="12"/>
  <c r="O19" i="10"/>
  <c r="O20" i="12"/>
  <c r="F35" i="13"/>
  <c r="F31" i="12"/>
  <c r="S34" i="13"/>
  <c r="D30" i="12"/>
  <c r="X46" i="13"/>
  <c r="V47" i="13"/>
  <c r="W47" i="13" s="1"/>
  <c r="T47" i="13"/>
  <c r="U47" i="13" s="1"/>
  <c r="M49" i="13"/>
  <c r="C48" i="13"/>
  <c r="D48" i="13" s="1"/>
  <c r="P49" i="13"/>
  <c r="G45" i="12" s="1"/>
  <c r="O49" i="13"/>
  <c r="N49" i="13"/>
  <c r="I45" i="12" s="1"/>
  <c r="J49" i="13"/>
  <c r="B49" i="13"/>
  <c r="K49" i="13"/>
  <c r="N37" i="10"/>
  <c r="J43" i="3"/>
  <c r="N39" i="12" s="1"/>
  <c r="B42" i="3"/>
  <c r="C42" i="3" s="1"/>
  <c r="D42" i="3" s="1"/>
  <c r="O43" i="3"/>
  <c r="G38" i="10" s="1"/>
  <c r="P43" i="3"/>
  <c r="Q38" i="10" s="1"/>
  <c r="N43" i="3"/>
  <c r="Q43" i="3"/>
  <c r="R38" i="10" s="1"/>
  <c r="M43" i="3"/>
  <c r="I38" i="10" s="1"/>
  <c r="A43" i="3"/>
  <c r="G43" i="3" s="1"/>
  <c r="Z2" i="3"/>
  <c r="H50" i="13" l="1"/>
  <c r="G50" i="13"/>
  <c r="F43" i="3"/>
  <c r="A38" i="10"/>
  <c r="B44" i="12"/>
  <c r="E48" i="13"/>
  <c r="C44" i="12" s="1"/>
  <c r="A45" i="12"/>
  <c r="I35" i="13"/>
  <c r="E31" i="12"/>
  <c r="T48" i="13"/>
  <c r="U48" i="13" s="1"/>
  <c r="V48" i="13"/>
  <c r="W48" i="13" s="1"/>
  <c r="X47" i="13"/>
  <c r="O50" i="13"/>
  <c r="J50" i="13"/>
  <c r="B50" i="13"/>
  <c r="R50" i="13"/>
  <c r="R46" i="12" s="1"/>
  <c r="N50" i="13"/>
  <c r="I46" i="12" s="1"/>
  <c r="Q50" i="13"/>
  <c r="Q46" i="12" s="1"/>
  <c r="M50" i="13"/>
  <c r="C49" i="13"/>
  <c r="D49" i="13" s="1"/>
  <c r="B45" i="12" s="1"/>
  <c r="P50" i="13"/>
  <c r="G46" i="12" s="1"/>
  <c r="K50" i="13"/>
  <c r="N38" i="10"/>
  <c r="J44" i="3"/>
  <c r="N40" i="12" s="1"/>
  <c r="B43" i="3"/>
  <c r="C43" i="3" s="1"/>
  <c r="D43" i="3" s="1"/>
  <c r="O44" i="3"/>
  <c r="G39" i="10" s="1"/>
  <c r="Q44" i="3"/>
  <c r="R39" i="10" s="1"/>
  <c r="P44" i="3"/>
  <c r="Q39" i="10" s="1"/>
  <c r="N44" i="3"/>
  <c r="M44" i="3"/>
  <c r="I39" i="10" s="1"/>
  <c r="A44" i="3"/>
  <c r="G44" i="3" s="1"/>
  <c r="B39" i="1"/>
  <c r="H51" i="13" l="1"/>
  <c r="G51" i="13"/>
  <c r="F44" i="3"/>
  <c r="E49" i="13"/>
  <c r="C45" i="12" s="1"/>
  <c r="A39" i="10"/>
  <c r="A46" i="12"/>
  <c r="F36" i="13"/>
  <c r="F32" i="12"/>
  <c r="S35" i="13"/>
  <c r="D31" i="12"/>
  <c r="X48" i="13"/>
  <c r="T49" i="13"/>
  <c r="U49" i="13" s="1"/>
  <c r="V49" i="13"/>
  <c r="W49" i="13" s="1"/>
  <c r="Q51" i="13"/>
  <c r="Q47" i="12" s="1"/>
  <c r="M51" i="13"/>
  <c r="P51" i="13"/>
  <c r="G47" i="12" s="1"/>
  <c r="K51" i="13"/>
  <c r="O51" i="13"/>
  <c r="J51" i="13"/>
  <c r="B51" i="13"/>
  <c r="R51" i="13"/>
  <c r="R47" i="12" s="1"/>
  <c r="N51" i="13"/>
  <c r="I47" i="12" s="1"/>
  <c r="C50" i="13"/>
  <c r="D50" i="13" s="1"/>
  <c r="B46" i="12" s="1"/>
  <c r="N39" i="10"/>
  <c r="J45" i="3"/>
  <c r="N41" i="12" s="1"/>
  <c r="B44" i="3"/>
  <c r="C44" i="3" s="1"/>
  <c r="D44" i="3" s="1"/>
  <c r="O45" i="3"/>
  <c r="G40" i="10" s="1"/>
  <c r="Q45" i="3"/>
  <c r="R40" i="10" s="1"/>
  <c r="M45" i="3"/>
  <c r="I40" i="10" s="1"/>
  <c r="P45" i="3"/>
  <c r="Q40" i="10" s="1"/>
  <c r="N45" i="3"/>
  <c r="A45" i="3"/>
  <c r="G45" i="3" s="1"/>
  <c r="H52" i="13" l="1"/>
  <c r="G52" i="13"/>
  <c r="F45" i="3"/>
  <c r="E50" i="13"/>
  <c r="C46" i="12" s="1"/>
  <c r="A40" i="10"/>
  <c r="A47" i="12"/>
  <c r="L37" i="13"/>
  <c r="I36" i="13"/>
  <c r="E32" i="12"/>
  <c r="V50" i="13"/>
  <c r="W50" i="13" s="1"/>
  <c r="T50" i="13"/>
  <c r="U50" i="13" s="1"/>
  <c r="O52" i="13"/>
  <c r="J52" i="13"/>
  <c r="B52" i="13"/>
  <c r="R52" i="13"/>
  <c r="R48" i="12" s="1"/>
  <c r="N52" i="13"/>
  <c r="I48" i="12" s="1"/>
  <c r="C51" i="13"/>
  <c r="D51" i="13" s="1"/>
  <c r="B47" i="12" s="1"/>
  <c r="Q52" i="13"/>
  <c r="Q48" i="12" s="1"/>
  <c r="M52" i="13"/>
  <c r="P52" i="13"/>
  <c r="G48" i="12" s="1"/>
  <c r="K52" i="13"/>
  <c r="X49" i="13"/>
  <c r="N40" i="10"/>
  <c r="J46" i="3"/>
  <c r="N42" i="12" s="1"/>
  <c r="B45" i="3"/>
  <c r="C45" i="3" s="1"/>
  <c r="D45" i="3" s="1"/>
  <c r="O46" i="3"/>
  <c r="G41" i="10" s="1"/>
  <c r="Q46" i="3"/>
  <c r="R41" i="10" s="1"/>
  <c r="P46" i="3"/>
  <c r="Q41" i="10" s="1"/>
  <c r="N46" i="3"/>
  <c r="M46" i="3"/>
  <c r="I41" i="10" s="1"/>
  <c r="A46" i="3"/>
  <c r="G46" i="3" l="1"/>
  <c r="H53" i="13"/>
  <c r="G53" i="13"/>
  <c r="F46" i="3"/>
  <c r="E51" i="13"/>
  <c r="C47" i="12" s="1"/>
  <c r="A41" i="10"/>
  <c r="Q37" i="13"/>
  <c r="Q33" i="12" s="1"/>
  <c r="Z3" i="13"/>
  <c r="AA3" i="13" s="1"/>
  <c r="R37" i="13"/>
  <c r="R33" i="12" s="1"/>
  <c r="A48" i="12"/>
  <c r="F37" i="13"/>
  <c r="F33" i="12"/>
  <c r="S36" i="13"/>
  <c r="D32" i="12"/>
  <c r="T51" i="13"/>
  <c r="U51" i="13" s="1"/>
  <c r="V51" i="13"/>
  <c r="W51" i="13" s="1"/>
  <c r="Q53" i="13"/>
  <c r="Q49" i="12" s="1"/>
  <c r="M53" i="13"/>
  <c r="P53" i="13"/>
  <c r="G49" i="12" s="1"/>
  <c r="K53" i="13"/>
  <c r="O53" i="13"/>
  <c r="J53" i="13"/>
  <c r="B53" i="13"/>
  <c r="R53" i="13"/>
  <c r="R49" i="12" s="1"/>
  <c r="N53" i="13"/>
  <c r="I49" i="12" s="1"/>
  <c r="C52" i="13"/>
  <c r="D52" i="13" s="1"/>
  <c r="B48" i="12" s="1"/>
  <c r="X50" i="13"/>
  <c r="N41" i="10"/>
  <c r="J47" i="3"/>
  <c r="N43" i="12" s="1"/>
  <c r="B46" i="3"/>
  <c r="C46" i="3" s="1"/>
  <c r="D46" i="3" s="1"/>
  <c r="O47" i="3"/>
  <c r="G42" i="10" s="1"/>
  <c r="Q47" i="3"/>
  <c r="R42" i="10" s="1"/>
  <c r="P47" i="3"/>
  <c r="Q42" i="10" s="1"/>
  <c r="N47" i="3"/>
  <c r="M47" i="3"/>
  <c r="I42" i="10" s="1"/>
  <c r="A47" i="3"/>
  <c r="G47" i="3" l="1"/>
  <c r="G54" i="13"/>
  <c r="H54" i="13"/>
  <c r="F47" i="3"/>
  <c r="E52" i="13"/>
  <c r="C48" i="12" s="1"/>
  <c r="A42" i="10"/>
  <c r="A49" i="12"/>
  <c r="F38" i="13"/>
  <c r="F34" i="12"/>
  <c r="I37" i="13"/>
  <c r="E33" i="12"/>
  <c r="V52" i="13"/>
  <c r="W52" i="13" s="1"/>
  <c r="T52" i="13"/>
  <c r="U52" i="13" s="1"/>
  <c r="O54" i="13"/>
  <c r="J54" i="13"/>
  <c r="B54" i="13"/>
  <c r="R54" i="13"/>
  <c r="R50" i="12" s="1"/>
  <c r="N54" i="13"/>
  <c r="I50" i="12" s="1"/>
  <c r="C53" i="13"/>
  <c r="D53" i="13" s="1"/>
  <c r="B49" i="12" s="1"/>
  <c r="Q54" i="13"/>
  <c r="Q50" i="12" s="1"/>
  <c r="M54" i="13"/>
  <c r="P54" i="13"/>
  <c r="G50" i="12" s="1"/>
  <c r="K54" i="13"/>
  <c r="X51" i="13"/>
  <c r="N42" i="10"/>
  <c r="J48" i="3"/>
  <c r="N44" i="12" s="1"/>
  <c r="B47" i="3"/>
  <c r="C47" i="3" s="1"/>
  <c r="D47" i="3" s="1"/>
  <c r="O48" i="3"/>
  <c r="G43" i="10" s="1"/>
  <c r="Q48" i="3"/>
  <c r="R43" i="10" s="1"/>
  <c r="P48" i="3"/>
  <c r="Q43" i="10" s="1"/>
  <c r="N48" i="3"/>
  <c r="M48" i="3"/>
  <c r="I43" i="10" s="1"/>
  <c r="A48" i="3"/>
  <c r="P12" i="3"/>
  <c r="G48" i="3" l="1"/>
  <c r="H55" i="13"/>
  <c r="G55" i="13"/>
  <c r="F48" i="3"/>
  <c r="E53" i="13"/>
  <c r="C49" i="12" s="1"/>
  <c r="A50" i="12"/>
  <c r="D33" i="12"/>
  <c r="S37" i="13"/>
  <c r="I38" i="13"/>
  <c r="E34" i="12"/>
  <c r="T53" i="13"/>
  <c r="U53" i="13" s="1"/>
  <c r="V53" i="13"/>
  <c r="W53" i="13" s="1"/>
  <c r="Q55" i="13"/>
  <c r="Q51" i="12" s="1"/>
  <c r="M55" i="13"/>
  <c r="P55" i="13"/>
  <c r="G51" i="12" s="1"/>
  <c r="K55" i="13"/>
  <c r="O55" i="13"/>
  <c r="J55" i="13"/>
  <c r="B55" i="13"/>
  <c r="R55" i="13"/>
  <c r="R51" i="12" s="1"/>
  <c r="N55" i="13"/>
  <c r="I51" i="12" s="1"/>
  <c r="C54" i="13"/>
  <c r="D54" i="13" s="1"/>
  <c r="B50" i="12" s="1"/>
  <c r="X52" i="13"/>
  <c r="A43" i="10"/>
  <c r="J49" i="3"/>
  <c r="N45" i="12" s="1"/>
  <c r="N43" i="10"/>
  <c r="B48" i="3"/>
  <c r="C48" i="3" s="1"/>
  <c r="D48" i="3" s="1"/>
  <c r="N49" i="3"/>
  <c r="A49" i="3"/>
  <c r="P8" i="3"/>
  <c r="M24" i="3" s="1"/>
  <c r="M49" i="3" s="1"/>
  <c r="I44" i="10" s="1"/>
  <c r="AC10" i="3"/>
  <c r="AC15" i="3" s="1"/>
  <c r="B33" i="1"/>
  <c r="B23" i="1"/>
  <c r="G49" i="3" l="1"/>
  <c r="H56" i="13"/>
  <c r="G56" i="13"/>
  <c r="F49" i="3"/>
  <c r="E54" i="13"/>
  <c r="C50" i="12" s="1"/>
  <c r="A44" i="10"/>
  <c r="A51" i="12"/>
  <c r="B42" i="10"/>
  <c r="S38" i="13"/>
  <c r="D34" i="12"/>
  <c r="F39" i="13"/>
  <c r="F35" i="12"/>
  <c r="V54" i="13"/>
  <c r="W54" i="13" s="1"/>
  <c r="T54" i="13"/>
  <c r="U54" i="13" s="1"/>
  <c r="X53" i="13"/>
  <c r="O56" i="13"/>
  <c r="J56" i="13"/>
  <c r="B56" i="13"/>
  <c r="R56" i="13"/>
  <c r="R52" i="12" s="1"/>
  <c r="N56" i="13"/>
  <c r="I52" i="12" s="1"/>
  <c r="C55" i="13"/>
  <c r="D55" i="13" s="1"/>
  <c r="B51" i="12" s="1"/>
  <c r="Q56" i="13"/>
  <c r="Q52" i="12" s="1"/>
  <c r="M56" i="13"/>
  <c r="P56" i="13"/>
  <c r="G52" i="12" s="1"/>
  <c r="K56" i="13"/>
  <c r="B43" i="10"/>
  <c r="B22" i="10"/>
  <c r="B23" i="10"/>
  <c r="B24" i="10"/>
  <c r="B25" i="10"/>
  <c r="B26" i="10"/>
  <c r="B27" i="10"/>
  <c r="B28" i="10"/>
  <c r="B30" i="10"/>
  <c r="B29" i="10"/>
  <c r="B31" i="10"/>
  <c r="B32" i="10"/>
  <c r="B33" i="10"/>
  <c r="B34" i="10"/>
  <c r="B35" i="10"/>
  <c r="B36" i="10"/>
  <c r="B37" i="10"/>
  <c r="B38" i="10"/>
  <c r="B39" i="10"/>
  <c r="B40" i="10"/>
  <c r="B41" i="10"/>
  <c r="N44" i="10"/>
  <c r="J50" i="3"/>
  <c r="N46" i="12" s="1"/>
  <c r="M37" i="3"/>
  <c r="I32" i="10" s="1"/>
  <c r="I19" i="10"/>
  <c r="B49" i="3"/>
  <c r="O50" i="3"/>
  <c r="G45" i="10" s="1"/>
  <c r="Q50" i="3"/>
  <c r="R45" i="10" s="1"/>
  <c r="P50" i="3"/>
  <c r="Q45" i="10" s="1"/>
  <c r="N50" i="3"/>
  <c r="M50" i="3"/>
  <c r="I45" i="10" s="1"/>
  <c r="A50" i="3"/>
  <c r="G50" i="3" l="1"/>
  <c r="H57" i="13"/>
  <c r="G57" i="13"/>
  <c r="F50" i="3"/>
  <c r="E55" i="13"/>
  <c r="A45" i="10"/>
  <c r="A52" i="12"/>
  <c r="F40" i="13"/>
  <c r="F36" i="12"/>
  <c r="I39" i="13"/>
  <c r="E35" i="12"/>
  <c r="X54" i="13"/>
  <c r="T55" i="13"/>
  <c r="U55" i="13" s="1"/>
  <c r="V55" i="13"/>
  <c r="W55" i="13" s="1"/>
  <c r="Q57" i="13"/>
  <c r="Q53" i="12" s="1"/>
  <c r="M57" i="13"/>
  <c r="P57" i="13"/>
  <c r="G53" i="12" s="1"/>
  <c r="K57" i="13"/>
  <c r="O57" i="13"/>
  <c r="J57" i="13"/>
  <c r="B57" i="13"/>
  <c r="R57" i="13"/>
  <c r="R53" i="12" s="1"/>
  <c r="N57" i="13"/>
  <c r="I53" i="12" s="1"/>
  <c r="C56" i="13"/>
  <c r="D56" i="13" s="1"/>
  <c r="B52" i="12" s="1"/>
  <c r="C49" i="3"/>
  <c r="D49" i="3" s="1"/>
  <c r="N45" i="10"/>
  <c r="J51" i="3"/>
  <c r="N47" i="12" s="1"/>
  <c r="B50" i="3"/>
  <c r="O51" i="3"/>
  <c r="G46" i="10" s="1"/>
  <c r="P51" i="3"/>
  <c r="Q46" i="10" s="1"/>
  <c r="Q51" i="3"/>
  <c r="R46" i="10" s="1"/>
  <c r="N51" i="3"/>
  <c r="M51" i="3"/>
  <c r="I46" i="10" s="1"/>
  <c r="A51" i="3"/>
  <c r="G51" i="3" l="1"/>
  <c r="H58" i="13"/>
  <c r="G58" i="13"/>
  <c r="F51" i="3"/>
  <c r="E56" i="13"/>
  <c r="C52" i="12" s="1"/>
  <c r="A46" i="10"/>
  <c r="A53" i="12"/>
  <c r="S39" i="13"/>
  <c r="D35" i="12"/>
  <c r="I40" i="13"/>
  <c r="E36" i="12"/>
  <c r="X55" i="13"/>
  <c r="C51" i="12"/>
  <c r="V56" i="13"/>
  <c r="W56" i="13" s="1"/>
  <c r="T56" i="13"/>
  <c r="U56" i="13" s="1"/>
  <c r="O58" i="13"/>
  <c r="J58" i="13"/>
  <c r="B58" i="13"/>
  <c r="R58" i="13"/>
  <c r="R54" i="12" s="1"/>
  <c r="N58" i="13"/>
  <c r="I54" i="12" s="1"/>
  <c r="C57" i="13"/>
  <c r="D57" i="13" s="1"/>
  <c r="B53" i="12" s="1"/>
  <c r="Q58" i="13"/>
  <c r="Q54" i="12" s="1"/>
  <c r="M58" i="13"/>
  <c r="P58" i="13"/>
  <c r="G54" i="12" s="1"/>
  <c r="K58" i="13"/>
  <c r="B44" i="10"/>
  <c r="C50" i="3"/>
  <c r="D50" i="3" s="1"/>
  <c r="N46" i="10"/>
  <c r="J52" i="3"/>
  <c r="N48" i="12" s="1"/>
  <c r="B51" i="3"/>
  <c r="O52" i="3"/>
  <c r="G47" i="10" s="1"/>
  <c r="Q52" i="3"/>
  <c r="R47" i="10" s="1"/>
  <c r="P52" i="3"/>
  <c r="Q47" i="10" s="1"/>
  <c r="N52" i="3"/>
  <c r="M52" i="3"/>
  <c r="I47" i="10" s="1"/>
  <c r="A52" i="3"/>
  <c r="B25" i="3"/>
  <c r="B26" i="3"/>
  <c r="G52" i="3" l="1"/>
  <c r="H59" i="13"/>
  <c r="G59" i="13"/>
  <c r="F52" i="3"/>
  <c r="E57" i="13"/>
  <c r="C53" i="12" s="1"/>
  <c r="A47" i="10"/>
  <c r="A54" i="12"/>
  <c r="S40" i="13"/>
  <c r="D36" i="12"/>
  <c r="F41" i="13"/>
  <c r="F37" i="12"/>
  <c r="T57" i="13"/>
  <c r="U57" i="13" s="1"/>
  <c r="V57" i="13"/>
  <c r="W57" i="13" s="1"/>
  <c r="Q59" i="13"/>
  <c r="Q55" i="12" s="1"/>
  <c r="M59" i="13"/>
  <c r="P59" i="13"/>
  <c r="G55" i="12" s="1"/>
  <c r="K59" i="13"/>
  <c r="O59" i="13"/>
  <c r="J59" i="13"/>
  <c r="B59" i="13"/>
  <c r="R59" i="13"/>
  <c r="R55" i="12" s="1"/>
  <c r="N59" i="13"/>
  <c r="I55" i="12" s="1"/>
  <c r="C58" i="13"/>
  <c r="D58" i="13" s="1"/>
  <c r="B54" i="12" s="1"/>
  <c r="X56" i="13"/>
  <c r="C25" i="3"/>
  <c r="D25" i="3" s="1"/>
  <c r="B45" i="10"/>
  <c r="C26" i="3"/>
  <c r="C51" i="3"/>
  <c r="D51" i="3" s="1"/>
  <c r="N47" i="10"/>
  <c r="J53" i="3"/>
  <c r="N49" i="12" s="1"/>
  <c r="B52" i="3"/>
  <c r="O53" i="3"/>
  <c r="G48" i="10" s="1"/>
  <c r="Q53" i="3"/>
  <c r="R48" i="10" s="1"/>
  <c r="M53" i="3"/>
  <c r="I48" i="10" s="1"/>
  <c r="P53" i="3"/>
  <c r="Q48" i="10" s="1"/>
  <c r="N53" i="3"/>
  <c r="A53" i="3"/>
  <c r="S27" i="3"/>
  <c r="T27" i="3" s="1"/>
  <c r="G53" i="3" l="1"/>
  <c r="H60" i="13"/>
  <c r="G60" i="13"/>
  <c r="F53" i="3"/>
  <c r="E58" i="13"/>
  <c r="C54" i="12" s="1"/>
  <c r="D26" i="3"/>
  <c r="C21" i="10" s="1"/>
  <c r="D27" i="3"/>
  <c r="C22" i="10" s="1"/>
  <c r="A48" i="10"/>
  <c r="A55" i="12"/>
  <c r="F42" i="13"/>
  <c r="F38" i="12"/>
  <c r="I41" i="13"/>
  <c r="E37" i="12"/>
  <c r="V58" i="13"/>
  <c r="W58" i="13" s="1"/>
  <c r="T58" i="13"/>
  <c r="U58" i="13" s="1"/>
  <c r="X57" i="13"/>
  <c r="O60" i="13"/>
  <c r="J60" i="13"/>
  <c r="B60" i="13"/>
  <c r="R60" i="13"/>
  <c r="R56" i="12" s="1"/>
  <c r="N60" i="13"/>
  <c r="I56" i="12" s="1"/>
  <c r="C59" i="13"/>
  <c r="D59" i="13" s="1"/>
  <c r="B55" i="12" s="1"/>
  <c r="Q60" i="13"/>
  <c r="Q56" i="12" s="1"/>
  <c r="M60" i="13"/>
  <c r="P60" i="13"/>
  <c r="G56" i="12" s="1"/>
  <c r="K60" i="13"/>
  <c r="B20" i="10"/>
  <c r="B21" i="10"/>
  <c r="B46" i="10"/>
  <c r="S26" i="3"/>
  <c r="T26" i="3" s="1"/>
  <c r="C52" i="3"/>
  <c r="D52" i="3" s="1"/>
  <c r="S25" i="3"/>
  <c r="T25" i="3" s="1"/>
  <c r="N48" i="10"/>
  <c r="J54" i="3"/>
  <c r="N50" i="12" s="1"/>
  <c r="B53" i="3"/>
  <c r="O54" i="3"/>
  <c r="G49" i="10" s="1"/>
  <c r="Q54" i="3"/>
  <c r="R49" i="10" s="1"/>
  <c r="P54" i="3"/>
  <c r="Q49" i="10" s="1"/>
  <c r="N54" i="3"/>
  <c r="M54" i="3"/>
  <c r="I49" i="10" s="1"/>
  <c r="A54" i="3"/>
  <c r="I29" i="3"/>
  <c r="M25" i="12" s="1"/>
  <c r="U26" i="3"/>
  <c r="V26" i="3" s="1"/>
  <c r="U27" i="3"/>
  <c r="V27" i="3" s="1"/>
  <c r="U25" i="3"/>
  <c r="V25" i="3" s="1"/>
  <c r="S28" i="3"/>
  <c r="T28" i="3" s="1"/>
  <c r="U28" i="3"/>
  <c r="V28" i="3" s="1"/>
  <c r="G54" i="3" l="1"/>
  <c r="H61" i="13"/>
  <c r="G61" i="13"/>
  <c r="F54" i="3"/>
  <c r="E59" i="13"/>
  <c r="A49" i="10"/>
  <c r="A56" i="12"/>
  <c r="F43" i="13"/>
  <c r="F39" i="12"/>
  <c r="S41" i="13"/>
  <c r="D37" i="12"/>
  <c r="I42" i="13"/>
  <c r="E38" i="12"/>
  <c r="X58" i="13"/>
  <c r="T59" i="13"/>
  <c r="U59" i="13" s="1"/>
  <c r="V59" i="13"/>
  <c r="W59" i="13" s="1"/>
  <c r="P61" i="13"/>
  <c r="G57" i="12" s="1"/>
  <c r="O61" i="13"/>
  <c r="R61" i="13"/>
  <c r="R57" i="12" s="1"/>
  <c r="N61" i="13"/>
  <c r="I57" i="12" s="1"/>
  <c r="J61" i="13"/>
  <c r="B61" i="13"/>
  <c r="Q61" i="13"/>
  <c r="Q57" i="12" s="1"/>
  <c r="M61" i="13"/>
  <c r="C60" i="13"/>
  <c r="D60" i="13" s="1"/>
  <c r="B56" i="12" s="1"/>
  <c r="K61" i="13"/>
  <c r="W25" i="3"/>
  <c r="C20" i="10"/>
  <c r="W27" i="3"/>
  <c r="W26" i="3"/>
  <c r="T24" i="3"/>
  <c r="B47" i="10"/>
  <c r="C23" i="10"/>
  <c r="C53" i="3"/>
  <c r="D53" i="3" s="1"/>
  <c r="N49" i="10"/>
  <c r="J55" i="3"/>
  <c r="N51" i="12" s="1"/>
  <c r="M24" i="10"/>
  <c r="N24" i="10"/>
  <c r="B54" i="3"/>
  <c r="O55" i="3"/>
  <c r="G50" i="10" s="1"/>
  <c r="Q55" i="3"/>
  <c r="R50" i="10" s="1"/>
  <c r="P55" i="3"/>
  <c r="Q50" i="10" s="1"/>
  <c r="N55" i="3"/>
  <c r="M55" i="3"/>
  <c r="I50" i="10" s="1"/>
  <c r="A55" i="3"/>
  <c r="G55" i="3" s="1"/>
  <c r="L30" i="3"/>
  <c r="I30" i="3"/>
  <c r="M26" i="12" s="1"/>
  <c r="W28" i="3"/>
  <c r="H62" i="13" l="1"/>
  <c r="G62" i="13"/>
  <c r="F55" i="3"/>
  <c r="E60" i="13"/>
  <c r="C56" i="12" s="1"/>
  <c r="A50" i="10"/>
  <c r="A57" i="12"/>
  <c r="S42" i="13"/>
  <c r="D38" i="12"/>
  <c r="I43" i="13"/>
  <c r="E39" i="12"/>
  <c r="X59" i="13"/>
  <c r="C55" i="12"/>
  <c r="V60" i="13"/>
  <c r="W60" i="13" s="1"/>
  <c r="T60" i="13"/>
  <c r="U60" i="13" s="1"/>
  <c r="R62" i="13"/>
  <c r="R58" i="12" s="1"/>
  <c r="N62" i="13"/>
  <c r="I58" i="12" s="1"/>
  <c r="Q62" i="13"/>
  <c r="Q58" i="12" s="1"/>
  <c r="M62" i="13"/>
  <c r="C61" i="13"/>
  <c r="D61" i="13" s="1"/>
  <c r="B57" i="12" s="1"/>
  <c r="P62" i="13"/>
  <c r="G58" i="12" s="1"/>
  <c r="K62" i="13"/>
  <c r="O62" i="13"/>
  <c r="J62" i="13"/>
  <c r="B62" i="13"/>
  <c r="B48" i="10"/>
  <c r="C24" i="10"/>
  <c r="C54" i="3"/>
  <c r="D54" i="3" s="1"/>
  <c r="N50" i="10"/>
  <c r="J56" i="3"/>
  <c r="N52" i="12" s="1"/>
  <c r="N25" i="10"/>
  <c r="M25" i="10"/>
  <c r="B55" i="3"/>
  <c r="O56" i="3"/>
  <c r="G51" i="10" s="1"/>
  <c r="Q56" i="3"/>
  <c r="R51" i="10" s="1"/>
  <c r="P56" i="3"/>
  <c r="Q51" i="10" s="1"/>
  <c r="N56" i="3"/>
  <c r="M56" i="3"/>
  <c r="I51" i="10" s="1"/>
  <c r="A56" i="3"/>
  <c r="G56" i="3" s="1"/>
  <c r="L31" i="3"/>
  <c r="I31" i="3"/>
  <c r="M27" i="12" s="1"/>
  <c r="S29" i="3"/>
  <c r="T29" i="3" s="1"/>
  <c r="U29" i="3"/>
  <c r="V29" i="3" s="1"/>
  <c r="W29" i="3" s="1"/>
  <c r="H63" i="13" l="1"/>
  <c r="G63" i="13"/>
  <c r="F56" i="3"/>
  <c r="E61" i="13"/>
  <c r="C57" i="12" s="1"/>
  <c r="A51" i="10"/>
  <c r="A58" i="12"/>
  <c r="D39" i="12"/>
  <c r="S43" i="13"/>
  <c r="F44" i="13"/>
  <c r="F40" i="12"/>
  <c r="T61" i="13"/>
  <c r="U61" i="13" s="1"/>
  <c r="V61" i="13"/>
  <c r="W61" i="13" s="1"/>
  <c r="P63" i="13"/>
  <c r="G59" i="12" s="1"/>
  <c r="K63" i="13"/>
  <c r="O63" i="13"/>
  <c r="J63" i="13"/>
  <c r="B63" i="13"/>
  <c r="R63" i="13"/>
  <c r="R59" i="12" s="1"/>
  <c r="N63" i="13"/>
  <c r="I59" i="12" s="1"/>
  <c r="C62" i="13"/>
  <c r="D62" i="13" s="1"/>
  <c r="B58" i="12" s="1"/>
  <c r="Q63" i="13"/>
  <c r="Q59" i="12" s="1"/>
  <c r="M63" i="13"/>
  <c r="X60" i="13"/>
  <c r="F20" i="10"/>
  <c r="E25" i="3"/>
  <c r="E20" i="10"/>
  <c r="C25" i="10"/>
  <c r="B49" i="10"/>
  <c r="C55" i="3"/>
  <c r="D55" i="3" s="1"/>
  <c r="N51" i="10"/>
  <c r="J57" i="3"/>
  <c r="N53" i="12" s="1"/>
  <c r="N26" i="10"/>
  <c r="M26" i="10"/>
  <c r="B56" i="3"/>
  <c r="O57" i="3"/>
  <c r="G52" i="10" s="1"/>
  <c r="Q57" i="3"/>
  <c r="R52" i="10" s="1"/>
  <c r="P57" i="3"/>
  <c r="Q52" i="10" s="1"/>
  <c r="M57" i="3"/>
  <c r="I52" i="10" s="1"/>
  <c r="N57" i="3"/>
  <c r="A57" i="3"/>
  <c r="L32" i="3"/>
  <c r="I32" i="3"/>
  <c r="M28" i="12" s="1"/>
  <c r="U30" i="3"/>
  <c r="V30" i="3" s="1"/>
  <c r="W30" i="3" s="1"/>
  <c r="S30" i="3"/>
  <c r="T30" i="3" s="1"/>
  <c r="S31" i="3"/>
  <c r="T31" i="3" s="1"/>
  <c r="G57" i="3" l="1"/>
  <c r="H64" i="13"/>
  <c r="G64" i="13"/>
  <c r="F57" i="3"/>
  <c r="E62" i="13"/>
  <c r="C58" i="12" s="1"/>
  <c r="A52" i="10"/>
  <c r="A59" i="12"/>
  <c r="F45" i="13"/>
  <c r="F41" i="12"/>
  <c r="I44" i="13"/>
  <c r="E40" i="12"/>
  <c r="V62" i="13"/>
  <c r="W62" i="13" s="1"/>
  <c r="T62" i="13"/>
  <c r="U62" i="13" s="1"/>
  <c r="R64" i="13"/>
  <c r="R60" i="12" s="1"/>
  <c r="N64" i="13"/>
  <c r="I60" i="12" s="1"/>
  <c r="C63" i="13"/>
  <c r="D63" i="13" s="1"/>
  <c r="B59" i="12" s="1"/>
  <c r="Q64" i="13"/>
  <c r="Q60" i="12" s="1"/>
  <c r="M64" i="13"/>
  <c r="P64" i="13"/>
  <c r="G60" i="12" s="1"/>
  <c r="K64" i="13"/>
  <c r="O64" i="13"/>
  <c r="J64" i="13"/>
  <c r="B64" i="13"/>
  <c r="X61" i="13"/>
  <c r="F21" i="10"/>
  <c r="E21" i="10"/>
  <c r="C26" i="10"/>
  <c r="B50" i="10"/>
  <c r="C56" i="3"/>
  <c r="D56" i="3" s="1"/>
  <c r="N52" i="10"/>
  <c r="J58" i="3"/>
  <c r="N54" i="12" s="1"/>
  <c r="M27" i="10"/>
  <c r="N27" i="10"/>
  <c r="B57" i="3"/>
  <c r="O58" i="3"/>
  <c r="G53" i="10" s="1"/>
  <c r="Q58" i="3"/>
  <c r="R53" i="10" s="1"/>
  <c r="P58" i="3"/>
  <c r="Q53" i="10" s="1"/>
  <c r="N58" i="3"/>
  <c r="M58" i="3"/>
  <c r="I53" i="10" s="1"/>
  <c r="A58" i="3"/>
  <c r="L33" i="3"/>
  <c r="I33" i="3"/>
  <c r="M29" i="12" s="1"/>
  <c r="U31" i="3"/>
  <c r="V31" i="3" s="1"/>
  <c r="W31" i="3" s="1"/>
  <c r="U32" i="3"/>
  <c r="V32" i="3" s="1"/>
  <c r="G58" i="3" l="1"/>
  <c r="H65" i="13"/>
  <c r="G65" i="13"/>
  <c r="F58" i="3"/>
  <c r="E63" i="13"/>
  <c r="C59" i="12" s="1"/>
  <c r="A53" i="10"/>
  <c r="A60" i="12"/>
  <c r="S44" i="13"/>
  <c r="D40" i="12"/>
  <c r="I45" i="13"/>
  <c r="E41" i="12"/>
  <c r="E26" i="3"/>
  <c r="T63" i="13"/>
  <c r="U63" i="13" s="1"/>
  <c r="V63" i="13"/>
  <c r="W63" i="13" s="1"/>
  <c r="X62" i="13"/>
  <c r="P65" i="13"/>
  <c r="G61" i="12" s="1"/>
  <c r="K65" i="13"/>
  <c r="O65" i="13"/>
  <c r="J65" i="13"/>
  <c r="B65" i="13"/>
  <c r="R65" i="13"/>
  <c r="R61" i="12" s="1"/>
  <c r="N65" i="13"/>
  <c r="I61" i="12" s="1"/>
  <c r="C64" i="13"/>
  <c r="D64" i="13" s="1"/>
  <c r="B60" i="12" s="1"/>
  <c r="Q65" i="13"/>
  <c r="Q61" i="12" s="1"/>
  <c r="M65" i="13"/>
  <c r="H26" i="3"/>
  <c r="R26" i="3" s="1"/>
  <c r="B51" i="10"/>
  <c r="C27" i="10"/>
  <c r="C57" i="3"/>
  <c r="D57" i="3" s="1"/>
  <c r="N53" i="10"/>
  <c r="J59" i="3"/>
  <c r="N55" i="12" s="1"/>
  <c r="N28" i="10"/>
  <c r="M28" i="10"/>
  <c r="B58" i="3"/>
  <c r="O59" i="3"/>
  <c r="G54" i="10" s="1"/>
  <c r="P59" i="3"/>
  <c r="Q54" i="10" s="1"/>
  <c r="N59" i="3"/>
  <c r="Q59" i="3"/>
  <c r="R54" i="10" s="1"/>
  <c r="M59" i="3"/>
  <c r="I54" i="10" s="1"/>
  <c r="A59" i="3"/>
  <c r="L34" i="3"/>
  <c r="I34" i="3"/>
  <c r="M30" i="12" s="1"/>
  <c r="W32" i="3"/>
  <c r="S32" i="3"/>
  <c r="T32" i="3" s="1"/>
  <c r="G59" i="3" l="1"/>
  <c r="H66" i="13"/>
  <c r="G66" i="13"/>
  <c r="F59" i="3"/>
  <c r="E64" i="13"/>
  <c r="C60" i="12" s="1"/>
  <c r="A54" i="10"/>
  <c r="A61" i="12"/>
  <c r="S45" i="13"/>
  <c r="D41" i="12"/>
  <c r="F42" i="12"/>
  <c r="F22" i="10"/>
  <c r="H27" i="3"/>
  <c r="R27" i="3" s="1"/>
  <c r="X63" i="13"/>
  <c r="V64" i="13"/>
  <c r="W64" i="13" s="1"/>
  <c r="T64" i="13"/>
  <c r="U64" i="13" s="1"/>
  <c r="R66" i="13"/>
  <c r="R62" i="12" s="1"/>
  <c r="N66" i="13"/>
  <c r="I62" i="12" s="1"/>
  <c r="C65" i="13"/>
  <c r="D65" i="13" s="1"/>
  <c r="B61" i="12" s="1"/>
  <c r="Q66" i="13"/>
  <c r="Q62" i="12" s="1"/>
  <c r="M66" i="13"/>
  <c r="P66" i="13"/>
  <c r="G62" i="12" s="1"/>
  <c r="K66" i="13"/>
  <c r="O66" i="13"/>
  <c r="J66" i="13"/>
  <c r="B66" i="13"/>
  <c r="D21" i="10"/>
  <c r="B52" i="10"/>
  <c r="C28" i="10"/>
  <c r="C58" i="3"/>
  <c r="D58" i="3" s="1"/>
  <c r="N54" i="10"/>
  <c r="J60" i="3"/>
  <c r="N56" i="12" s="1"/>
  <c r="M29" i="10"/>
  <c r="N29" i="10"/>
  <c r="B59" i="3"/>
  <c r="O60" i="3"/>
  <c r="G55" i="10" s="1"/>
  <c r="Q60" i="3"/>
  <c r="R55" i="10" s="1"/>
  <c r="P60" i="3"/>
  <c r="Q55" i="10" s="1"/>
  <c r="N60" i="3"/>
  <c r="M60" i="3"/>
  <c r="I55" i="10" s="1"/>
  <c r="A60" i="3"/>
  <c r="L35" i="3"/>
  <c r="I35" i="3"/>
  <c r="M31" i="12" s="1"/>
  <c r="S33" i="3"/>
  <c r="T33" i="3" s="1"/>
  <c r="U33" i="3"/>
  <c r="V33" i="3" s="1"/>
  <c r="W33" i="3" s="1"/>
  <c r="U34" i="3"/>
  <c r="V34" i="3" s="1"/>
  <c r="G60" i="3" l="1"/>
  <c r="H67" i="13"/>
  <c r="G67" i="13"/>
  <c r="F60" i="3"/>
  <c r="E65" i="13"/>
  <c r="C61" i="12" s="1"/>
  <c r="A62" i="12"/>
  <c r="E22" i="10"/>
  <c r="E27" i="3"/>
  <c r="F23" i="10" s="1"/>
  <c r="I46" i="13"/>
  <c r="E42" i="12"/>
  <c r="F46" i="13"/>
  <c r="T65" i="13"/>
  <c r="U65" i="13" s="1"/>
  <c r="V65" i="13"/>
  <c r="W65" i="13" s="1"/>
  <c r="P67" i="13"/>
  <c r="G63" i="12" s="1"/>
  <c r="K67" i="13"/>
  <c r="O67" i="13"/>
  <c r="J67" i="13"/>
  <c r="B67" i="13"/>
  <c r="R67" i="13"/>
  <c r="R63" i="12" s="1"/>
  <c r="N67" i="13"/>
  <c r="I63" i="12" s="1"/>
  <c r="C66" i="13"/>
  <c r="D66" i="13" s="1"/>
  <c r="B62" i="12" s="1"/>
  <c r="Q67" i="13"/>
  <c r="Q63" i="12" s="1"/>
  <c r="M67" i="13"/>
  <c r="X64" i="13"/>
  <c r="B53" i="10"/>
  <c r="C29" i="10"/>
  <c r="D22" i="10"/>
  <c r="C59" i="3"/>
  <c r="D59" i="3" s="1"/>
  <c r="A55" i="10"/>
  <c r="J61" i="3"/>
  <c r="N57" i="12" s="1"/>
  <c r="N55" i="10"/>
  <c r="M30" i="10"/>
  <c r="B60" i="3"/>
  <c r="M61" i="3"/>
  <c r="I56" i="10" s="1"/>
  <c r="N61" i="3"/>
  <c r="A61" i="3"/>
  <c r="L36" i="3"/>
  <c r="I36" i="3"/>
  <c r="M32" i="12" s="1"/>
  <c r="W34" i="3"/>
  <c r="S34" i="3"/>
  <c r="T34" i="3" s="1"/>
  <c r="U35" i="3"/>
  <c r="V35" i="3" s="1"/>
  <c r="G61" i="3" l="1"/>
  <c r="H68" i="13"/>
  <c r="G68" i="13"/>
  <c r="F61" i="3"/>
  <c r="E66" i="13"/>
  <c r="C62" i="12" s="1"/>
  <c r="A56" i="10"/>
  <c r="A63" i="12"/>
  <c r="H28" i="3"/>
  <c r="S46" i="13"/>
  <c r="D42" i="12"/>
  <c r="X65" i="13"/>
  <c r="V66" i="13"/>
  <c r="W66" i="13" s="1"/>
  <c r="T66" i="13"/>
  <c r="U66" i="13" s="1"/>
  <c r="R68" i="13"/>
  <c r="R64" i="12" s="1"/>
  <c r="N68" i="13"/>
  <c r="I64" i="12" s="1"/>
  <c r="C67" i="13"/>
  <c r="D67" i="13" s="1"/>
  <c r="B63" i="12" s="1"/>
  <c r="Q68" i="13"/>
  <c r="Q64" i="12" s="1"/>
  <c r="M68" i="13"/>
  <c r="P68" i="13"/>
  <c r="G64" i="12" s="1"/>
  <c r="K68" i="13"/>
  <c r="O68" i="13"/>
  <c r="J68" i="13"/>
  <c r="B68" i="13"/>
  <c r="C30" i="10"/>
  <c r="B54" i="10"/>
  <c r="C60" i="3"/>
  <c r="D60" i="3" s="1"/>
  <c r="N56" i="10"/>
  <c r="J62" i="3"/>
  <c r="N58" i="12" s="1"/>
  <c r="M31" i="10"/>
  <c r="B61" i="3"/>
  <c r="O62" i="3"/>
  <c r="G57" i="10" s="1"/>
  <c r="N62" i="3"/>
  <c r="M62" i="3"/>
  <c r="I57" i="10" s="1"/>
  <c r="A62" i="3"/>
  <c r="L37" i="3"/>
  <c r="L38" i="3"/>
  <c r="I38" i="3"/>
  <c r="M34" i="12" s="1"/>
  <c r="W35" i="3"/>
  <c r="S35" i="3"/>
  <c r="T35" i="3" s="1"/>
  <c r="U36" i="3"/>
  <c r="V36" i="3" s="1"/>
  <c r="G62" i="3" l="1"/>
  <c r="H69" i="13"/>
  <c r="G69" i="13"/>
  <c r="F62" i="3"/>
  <c r="E67" i="13"/>
  <c r="A57" i="10"/>
  <c r="A64" i="12"/>
  <c r="E23" i="10"/>
  <c r="E28" i="3"/>
  <c r="F43" i="12"/>
  <c r="X66" i="13"/>
  <c r="T67" i="13"/>
  <c r="U67" i="13" s="1"/>
  <c r="V67" i="13"/>
  <c r="W67" i="13" s="1"/>
  <c r="P69" i="13"/>
  <c r="G65" i="12" s="1"/>
  <c r="K69" i="13"/>
  <c r="O69" i="13"/>
  <c r="J69" i="13"/>
  <c r="B69" i="13"/>
  <c r="R69" i="13"/>
  <c r="R65" i="12" s="1"/>
  <c r="N69" i="13"/>
  <c r="I65" i="12" s="1"/>
  <c r="C68" i="13"/>
  <c r="D68" i="13" s="1"/>
  <c r="B64" i="12" s="1"/>
  <c r="Q69" i="13"/>
  <c r="Q65" i="12" s="1"/>
  <c r="M69" i="13"/>
  <c r="C32" i="10"/>
  <c r="C31" i="10"/>
  <c r="D23" i="10"/>
  <c r="B55" i="10"/>
  <c r="C61" i="3"/>
  <c r="D61" i="3" s="1"/>
  <c r="N57" i="10"/>
  <c r="J63" i="3"/>
  <c r="N59" i="12" s="1"/>
  <c r="M33" i="10"/>
  <c r="B62" i="3"/>
  <c r="O63" i="3"/>
  <c r="G58" i="10" s="1"/>
  <c r="R28" i="3"/>
  <c r="Q63" i="3"/>
  <c r="R58" i="10" s="1"/>
  <c r="P63" i="3"/>
  <c r="Q58" i="10" s="1"/>
  <c r="N63" i="3"/>
  <c r="M63" i="3"/>
  <c r="I58" i="10" s="1"/>
  <c r="A63" i="3"/>
  <c r="G63" i="3" s="1"/>
  <c r="L39" i="3"/>
  <c r="I39" i="3"/>
  <c r="M35" i="12" s="1"/>
  <c r="W36" i="3"/>
  <c r="S36" i="3"/>
  <c r="T36" i="3" s="1"/>
  <c r="S37" i="3"/>
  <c r="T37" i="3" s="1"/>
  <c r="U37" i="3"/>
  <c r="V37" i="3" s="1"/>
  <c r="H70" i="13" l="1"/>
  <c r="G70" i="13"/>
  <c r="F63" i="3"/>
  <c r="E68" i="13"/>
  <c r="C64" i="12" s="1"/>
  <c r="A58" i="10"/>
  <c r="A65" i="12"/>
  <c r="I47" i="13"/>
  <c r="E43" i="12"/>
  <c r="F47" i="13"/>
  <c r="X67" i="13"/>
  <c r="C63" i="12"/>
  <c r="V68" i="13"/>
  <c r="W68" i="13" s="1"/>
  <c r="T68" i="13"/>
  <c r="U68" i="13" s="1"/>
  <c r="R70" i="13"/>
  <c r="R66" i="12" s="1"/>
  <c r="N70" i="13"/>
  <c r="I66" i="12" s="1"/>
  <c r="C69" i="13"/>
  <c r="D69" i="13" s="1"/>
  <c r="B65" i="12" s="1"/>
  <c r="Q70" i="13"/>
  <c r="Q66" i="12" s="1"/>
  <c r="M70" i="13"/>
  <c r="P70" i="13"/>
  <c r="G66" i="12" s="1"/>
  <c r="K70" i="13"/>
  <c r="O70" i="13"/>
  <c r="J70" i="13"/>
  <c r="B70" i="13"/>
  <c r="F24" i="10"/>
  <c r="C33" i="10"/>
  <c r="B56" i="10"/>
  <c r="C62" i="3"/>
  <c r="D62" i="3" s="1"/>
  <c r="N58" i="10"/>
  <c r="J64" i="3"/>
  <c r="N60" i="12" s="1"/>
  <c r="M34" i="10"/>
  <c r="B63" i="3"/>
  <c r="O64" i="3"/>
  <c r="G59" i="10" s="1"/>
  <c r="Q64" i="3"/>
  <c r="R59" i="10" s="1"/>
  <c r="P64" i="3"/>
  <c r="Q59" i="10" s="1"/>
  <c r="N64" i="3"/>
  <c r="M64" i="3"/>
  <c r="I59" i="10" s="1"/>
  <c r="A64" i="3"/>
  <c r="G64" i="3" s="1"/>
  <c r="L40" i="3"/>
  <c r="I40" i="3"/>
  <c r="M36" i="12" s="1"/>
  <c r="W37" i="3"/>
  <c r="H71" i="13" l="1"/>
  <c r="G71" i="13"/>
  <c r="F64" i="3"/>
  <c r="E69" i="13"/>
  <c r="C65" i="12" s="1"/>
  <c r="A59" i="10"/>
  <c r="A66" i="12"/>
  <c r="D43" i="12"/>
  <c r="S47" i="13"/>
  <c r="T69" i="13"/>
  <c r="U69" i="13" s="1"/>
  <c r="V69" i="13"/>
  <c r="W69" i="13" s="1"/>
  <c r="X68" i="13"/>
  <c r="P71" i="13"/>
  <c r="G67" i="12" s="1"/>
  <c r="K71" i="13"/>
  <c r="O71" i="13"/>
  <c r="J71" i="13"/>
  <c r="B71" i="13"/>
  <c r="R71" i="13"/>
  <c r="R67" i="12" s="1"/>
  <c r="N71" i="13"/>
  <c r="I67" i="12" s="1"/>
  <c r="C70" i="13"/>
  <c r="D70" i="13" s="1"/>
  <c r="B66" i="12" s="1"/>
  <c r="Q71" i="13"/>
  <c r="Q67" i="12" s="1"/>
  <c r="M71" i="13"/>
  <c r="E24" i="10"/>
  <c r="B57" i="10"/>
  <c r="C34" i="10"/>
  <c r="C63" i="3"/>
  <c r="D63" i="3" s="1"/>
  <c r="N59" i="10"/>
  <c r="J65" i="3"/>
  <c r="N61" i="12" s="1"/>
  <c r="M35" i="10"/>
  <c r="H29" i="3"/>
  <c r="B64" i="3"/>
  <c r="O65" i="3"/>
  <c r="G60" i="10" s="1"/>
  <c r="P30" i="3"/>
  <c r="E29" i="3"/>
  <c r="Q65" i="3"/>
  <c r="R60" i="10" s="1"/>
  <c r="P65" i="3"/>
  <c r="Q60" i="10" s="1"/>
  <c r="M65" i="3"/>
  <c r="I60" i="10" s="1"/>
  <c r="N65" i="3"/>
  <c r="A65" i="3"/>
  <c r="G65" i="3" s="1"/>
  <c r="L41" i="3"/>
  <c r="I41" i="3"/>
  <c r="M37" i="12" s="1"/>
  <c r="S38" i="3"/>
  <c r="T38" i="3" s="1"/>
  <c r="U38" i="3"/>
  <c r="V38" i="3" s="1"/>
  <c r="W38" i="3" s="1"/>
  <c r="U39" i="3"/>
  <c r="V39" i="3" s="1"/>
  <c r="H72" i="13" l="1"/>
  <c r="G72" i="13"/>
  <c r="F65" i="3"/>
  <c r="E70" i="13"/>
  <c r="C66" i="12" s="1"/>
  <c r="A60" i="10"/>
  <c r="A67" i="12"/>
  <c r="F44" i="12"/>
  <c r="V70" i="13"/>
  <c r="W70" i="13" s="1"/>
  <c r="T70" i="13"/>
  <c r="U70" i="13" s="1"/>
  <c r="X69" i="13"/>
  <c r="R72" i="13"/>
  <c r="R68" i="12" s="1"/>
  <c r="N72" i="13"/>
  <c r="I68" i="12" s="1"/>
  <c r="C71" i="13"/>
  <c r="D71" i="13" s="1"/>
  <c r="B67" i="12" s="1"/>
  <c r="Q72" i="13"/>
  <c r="Q68" i="12" s="1"/>
  <c r="M72" i="13"/>
  <c r="P72" i="13"/>
  <c r="G68" i="12" s="1"/>
  <c r="K72" i="13"/>
  <c r="O72" i="13"/>
  <c r="J72" i="13"/>
  <c r="B72" i="13"/>
  <c r="B58" i="10"/>
  <c r="C35" i="10"/>
  <c r="C64" i="3"/>
  <c r="D64" i="3" s="1"/>
  <c r="D24" i="10"/>
  <c r="N60" i="10"/>
  <c r="J66" i="3"/>
  <c r="N62" i="12" s="1"/>
  <c r="M36" i="10"/>
  <c r="Q25" i="10"/>
  <c r="B65" i="3"/>
  <c r="O66" i="3"/>
  <c r="G61" i="10" s="1"/>
  <c r="Q66" i="3"/>
  <c r="R61" i="10" s="1"/>
  <c r="P66" i="3"/>
  <c r="Q61" i="10" s="1"/>
  <c r="N66" i="3"/>
  <c r="M66" i="3"/>
  <c r="I61" i="10" s="1"/>
  <c r="A66" i="3"/>
  <c r="G66" i="3" s="1"/>
  <c r="L42" i="3"/>
  <c r="I42" i="3"/>
  <c r="M38" i="12" s="1"/>
  <c r="S39" i="3"/>
  <c r="T39" i="3" s="1"/>
  <c r="H73" i="13" l="1"/>
  <c r="G73" i="13"/>
  <c r="F66" i="3"/>
  <c r="E71" i="13"/>
  <c r="C67" i="12" s="1"/>
  <c r="A61" i="10"/>
  <c r="A68" i="12"/>
  <c r="I48" i="13"/>
  <c r="Q49" i="13" s="1"/>
  <c r="Q45" i="12" s="1"/>
  <c r="E44" i="12"/>
  <c r="F48" i="13"/>
  <c r="O73" i="13"/>
  <c r="R73" i="13"/>
  <c r="R69" i="12" s="1"/>
  <c r="N73" i="13"/>
  <c r="I69" i="12" s="1"/>
  <c r="Q73" i="13"/>
  <c r="Q69" i="12" s="1"/>
  <c r="M73" i="13"/>
  <c r="P73" i="13"/>
  <c r="G69" i="12" s="1"/>
  <c r="J73" i="13"/>
  <c r="B73" i="13"/>
  <c r="C72" i="13"/>
  <c r="D72" i="13" s="1"/>
  <c r="B68" i="12" s="1"/>
  <c r="K73" i="13"/>
  <c r="X70" i="13"/>
  <c r="T71" i="13"/>
  <c r="U71" i="13" s="1"/>
  <c r="V71" i="13"/>
  <c r="W71" i="13" s="1"/>
  <c r="C36" i="10"/>
  <c r="F25" i="10"/>
  <c r="B59" i="10"/>
  <c r="C65" i="3"/>
  <c r="D65" i="3" s="1"/>
  <c r="N61" i="10"/>
  <c r="J67" i="3"/>
  <c r="N63" i="12" s="1"/>
  <c r="M37" i="10"/>
  <c r="B66" i="3"/>
  <c r="O67" i="3"/>
  <c r="G62" i="10" s="1"/>
  <c r="P67" i="3"/>
  <c r="Q62" i="10" s="1"/>
  <c r="Q67" i="3"/>
  <c r="R62" i="10" s="1"/>
  <c r="N67" i="3"/>
  <c r="M67" i="3"/>
  <c r="I62" i="10" s="1"/>
  <c r="A67" i="3"/>
  <c r="L43" i="3"/>
  <c r="I43" i="3"/>
  <c r="M39" i="12" s="1"/>
  <c r="U40" i="3"/>
  <c r="V40" i="3" s="1"/>
  <c r="W39" i="3"/>
  <c r="S40" i="3"/>
  <c r="T40" i="3" s="1"/>
  <c r="G67" i="3" l="1"/>
  <c r="H74" i="13"/>
  <c r="G74" i="13"/>
  <c r="F67" i="3"/>
  <c r="E72" i="13"/>
  <c r="C68" i="12" s="1"/>
  <c r="A62" i="10"/>
  <c r="A69" i="12"/>
  <c r="L49" i="13"/>
  <c r="S48" i="13"/>
  <c r="D44" i="12"/>
  <c r="X71" i="13"/>
  <c r="V72" i="13"/>
  <c r="W72" i="13" s="1"/>
  <c r="T72" i="13"/>
  <c r="U72" i="13" s="1"/>
  <c r="Q74" i="13"/>
  <c r="Q70" i="12" s="1"/>
  <c r="M74" i="13"/>
  <c r="P74" i="13"/>
  <c r="G70" i="12" s="1"/>
  <c r="K74" i="13"/>
  <c r="O74" i="13"/>
  <c r="J74" i="13"/>
  <c r="B74" i="13"/>
  <c r="R74" i="13"/>
  <c r="R70" i="12" s="1"/>
  <c r="N74" i="13"/>
  <c r="I70" i="12" s="1"/>
  <c r="C73" i="13"/>
  <c r="D73" i="13" s="1"/>
  <c r="B69" i="12" s="1"/>
  <c r="C37" i="10"/>
  <c r="B60" i="10"/>
  <c r="E25" i="10"/>
  <c r="C66" i="3"/>
  <c r="D66" i="3" s="1"/>
  <c r="N62" i="10"/>
  <c r="J68" i="3"/>
  <c r="N64" i="12" s="1"/>
  <c r="M38" i="10"/>
  <c r="H30" i="3"/>
  <c r="B67" i="3"/>
  <c r="O68" i="3"/>
  <c r="G63" i="10" s="1"/>
  <c r="Q30" i="3"/>
  <c r="P31" i="3"/>
  <c r="E30" i="3"/>
  <c r="Q68" i="3"/>
  <c r="R63" i="10" s="1"/>
  <c r="P68" i="3"/>
  <c r="Q63" i="10" s="1"/>
  <c r="N68" i="3"/>
  <c r="M68" i="3"/>
  <c r="I63" i="10" s="1"/>
  <c r="A68" i="3"/>
  <c r="L44" i="3"/>
  <c r="I44" i="3"/>
  <c r="M40" i="12" s="1"/>
  <c r="U41" i="3"/>
  <c r="V41" i="3" s="1"/>
  <c r="W41" i="3" s="1"/>
  <c r="S41" i="3"/>
  <c r="T41" i="3" s="1"/>
  <c r="W40" i="3"/>
  <c r="G68" i="3" l="1"/>
  <c r="H75" i="13"/>
  <c r="G75" i="13"/>
  <c r="F68" i="3"/>
  <c r="E73" i="13"/>
  <c r="C69" i="12" s="1"/>
  <c r="A63" i="10"/>
  <c r="Z4" i="13"/>
  <c r="AA4" i="13" s="1"/>
  <c r="R49" i="13"/>
  <c r="R45" i="12" s="1"/>
  <c r="A70" i="12"/>
  <c r="F45" i="12"/>
  <c r="V73" i="13"/>
  <c r="W73" i="13" s="1"/>
  <c r="T73" i="13"/>
  <c r="U73" i="13" s="1"/>
  <c r="X72" i="13"/>
  <c r="O75" i="13"/>
  <c r="J75" i="13"/>
  <c r="B75" i="13"/>
  <c r="R75" i="13"/>
  <c r="R71" i="12" s="1"/>
  <c r="N75" i="13"/>
  <c r="I71" i="12" s="1"/>
  <c r="C74" i="13"/>
  <c r="D74" i="13" s="1"/>
  <c r="B70" i="12" s="1"/>
  <c r="Q75" i="13"/>
  <c r="Q71" i="12" s="1"/>
  <c r="M75" i="13"/>
  <c r="P75" i="13"/>
  <c r="G71" i="12" s="1"/>
  <c r="K75" i="13"/>
  <c r="B61" i="10"/>
  <c r="C38" i="10"/>
  <c r="C67" i="3"/>
  <c r="D67" i="3" s="1"/>
  <c r="D25" i="10"/>
  <c r="N63" i="10"/>
  <c r="J69" i="3"/>
  <c r="N65" i="12" s="1"/>
  <c r="Q26" i="10"/>
  <c r="M39" i="10"/>
  <c r="R25" i="10"/>
  <c r="B68" i="3"/>
  <c r="O69" i="3"/>
  <c r="G64" i="10" s="1"/>
  <c r="Q69" i="3"/>
  <c r="R64" i="10" s="1"/>
  <c r="M69" i="3"/>
  <c r="I64" i="10" s="1"/>
  <c r="P69" i="3"/>
  <c r="Q64" i="10" s="1"/>
  <c r="N69" i="3"/>
  <c r="A69" i="3"/>
  <c r="L45" i="3"/>
  <c r="I45" i="3"/>
  <c r="M41" i="12" s="1"/>
  <c r="S42" i="3"/>
  <c r="T42" i="3" s="1"/>
  <c r="U42" i="3"/>
  <c r="V42" i="3" s="1"/>
  <c r="U43" i="3"/>
  <c r="V43" i="3" s="1"/>
  <c r="G69" i="3" l="1"/>
  <c r="H76" i="13"/>
  <c r="G76" i="13"/>
  <c r="F69" i="3"/>
  <c r="E74" i="13"/>
  <c r="C70" i="12" s="1"/>
  <c r="A64" i="10"/>
  <c r="A71" i="12"/>
  <c r="I49" i="13"/>
  <c r="E45" i="12"/>
  <c r="F49" i="13"/>
  <c r="X73" i="13"/>
  <c r="T74" i="13"/>
  <c r="U74" i="13" s="1"/>
  <c r="V74" i="13"/>
  <c r="W74" i="13" s="1"/>
  <c r="Q76" i="13"/>
  <c r="Q72" i="12" s="1"/>
  <c r="M76" i="13"/>
  <c r="P76" i="13"/>
  <c r="G72" i="12" s="1"/>
  <c r="K76" i="13"/>
  <c r="O76" i="13"/>
  <c r="J76" i="13"/>
  <c r="B76" i="13"/>
  <c r="R76" i="13"/>
  <c r="R72" i="12" s="1"/>
  <c r="N76" i="13"/>
  <c r="I72" i="12" s="1"/>
  <c r="C75" i="13"/>
  <c r="D75" i="13" s="1"/>
  <c r="B71" i="12" s="1"/>
  <c r="F26" i="10"/>
  <c r="C39" i="10"/>
  <c r="B62" i="10"/>
  <c r="C68" i="3"/>
  <c r="D68" i="3" s="1"/>
  <c r="N64" i="10"/>
  <c r="J70" i="3"/>
  <c r="N66" i="12" s="1"/>
  <c r="M40" i="10"/>
  <c r="B69" i="3"/>
  <c r="O70" i="3"/>
  <c r="G65" i="10" s="1"/>
  <c r="Q70" i="3"/>
  <c r="R65" i="10" s="1"/>
  <c r="P70" i="3"/>
  <c r="Q65" i="10" s="1"/>
  <c r="N70" i="3"/>
  <c r="M70" i="3"/>
  <c r="I65" i="10" s="1"/>
  <c r="A70" i="3"/>
  <c r="L46" i="3"/>
  <c r="I46" i="3"/>
  <c r="M42" i="12" s="1"/>
  <c r="S43" i="3"/>
  <c r="T43" i="3" s="1"/>
  <c r="W42" i="3"/>
  <c r="G70" i="3" l="1"/>
  <c r="H77" i="13"/>
  <c r="G77" i="13"/>
  <c r="F70" i="3"/>
  <c r="E75" i="13"/>
  <c r="C71" i="12" s="1"/>
  <c r="A65" i="10"/>
  <c r="A72" i="12"/>
  <c r="D45" i="12"/>
  <c r="S49" i="13"/>
  <c r="X74" i="13"/>
  <c r="V75" i="13"/>
  <c r="W75" i="13" s="1"/>
  <c r="T75" i="13"/>
  <c r="U75" i="13" s="1"/>
  <c r="O77" i="13"/>
  <c r="J77" i="13"/>
  <c r="B77" i="13"/>
  <c r="R77" i="13"/>
  <c r="R73" i="12" s="1"/>
  <c r="N77" i="13"/>
  <c r="I73" i="12" s="1"/>
  <c r="C76" i="13"/>
  <c r="D76" i="13" s="1"/>
  <c r="B72" i="12" s="1"/>
  <c r="Q77" i="13"/>
  <c r="Q73" i="12" s="1"/>
  <c r="M77" i="13"/>
  <c r="P77" i="13"/>
  <c r="G73" i="12" s="1"/>
  <c r="K77" i="13"/>
  <c r="C40" i="10"/>
  <c r="B63" i="10"/>
  <c r="E26" i="10"/>
  <c r="C69" i="3"/>
  <c r="D69" i="3" s="1"/>
  <c r="N65" i="10"/>
  <c r="J71" i="3"/>
  <c r="N67" i="12" s="1"/>
  <c r="M41" i="10"/>
  <c r="H31" i="3"/>
  <c r="B70" i="3"/>
  <c r="O71" i="3"/>
  <c r="G66" i="10" s="1"/>
  <c r="Q31" i="3"/>
  <c r="P32" i="3"/>
  <c r="E31" i="3"/>
  <c r="Q71" i="3"/>
  <c r="R66" i="10" s="1"/>
  <c r="P71" i="3"/>
  <c r="Q66" i="10" s="1"/>
  <c r="N71" i="3"/>
  <c r="M71" i="3"/>
  <c r="I66" i="10" s="1"/>
  <c r="A71" i="3"/>
  <c r="L47" i="3"/>
  <c r="I47" i="3"/>
  <c r="M43" i="12" s="1"/>
  <c r="W43" i="3"/>
  <c r="S44" i="3"/>
  <c r="T44" i="3" s="1"/>
  <c r="U44" i="3"/>
  <c r="V44" i="3" s="1"/>
  <c r="W44" i="3" s="1"/>
  <c r="G71" i="3" l="1"/>
  <c r="H78" i="13"/>
  <c r="G78" i="13"/>
  <c r="F71" i="3"/>
  <c r="E76" i="13"/>
  <c r="A66" i="10"/>
  <c r="A73" i="12"/>
  <c r="F46" i="12"/>
  <c r="X75" i="13"/>
  <c r="T76" i="13"/>
  <c r="U76" i="13" s="1"/>
  <c r="V76" i="13"/>
  <c r="W76" i="13" s="1"/>
  <c r="Q78" i="13"/>
  <c r="Q74" i="12" s="1"/>
  <c r="M78" i="13"/>
  <c r="P78" i="13"/>
  <c r="G74" i="12" s="1"/>
  <c r="K78" i="13"/>
  <c r="O78" i="13"/>
  <c r="J78" i="13"/>
  <c r="B78" i="13"/>
  <c r="R78" i="13"/>
  <c r="R74" i="12" s="1"/>
  <c r="N78" i="13"/>
  <c r="I74" i="12" s="1"/>
  <c r="C77" i="13"/>
  <c r="D77" i="13" s="1"/>
  <c r="B73" i="12" s="1"/>
  <c r="B64" i="10"/>
  <c r="C41" i="10"/>
  <c r="C70" i="3"/>
  <c r="D70" i="3" s="1"/>
  <c r="D26" i="10"/>
  <c r="N66" i="10"/>
  <c r="J72" i="3"/>
  <c r="N68" i="12" s="1"/>
  <c r="M42" i="10"/>
  <c r="Q27" i="10"/>
  <c r="R26" i="10"/>
  <c r="B71" i="3"/>
  <c r="O72" i="3"/>
  <c r="G67" i="10" s="1"/>
  <c r="Q72" i="3"/>
  <c r="R67" i="10" s="1"/>
  <c r="P72" i="3"/>
  <c r="Q67" i="10" s="1"/>
  <c r="N72" i="3"/>
  <c r="M72" i="3"/>
  <c r="I67" i="10" s="1"/>
  <c r="A72" i="3"/>
  <c r="L48" i="3"/>
  <c r="I48" i="3"/>
  <c r="M44" i="12" s="1"/>
  <c r="S45" i="3"/>
  <c r="T45" i="3" s="1"/>
  <c r="U45" i="3"/>
  <c r="V45" i="3" s="1"/>
  <c r="W45" i="3" s="1"/>
  <c r="G72" i="3" l="1"/>
  <c r="H79" i="13"/>
  <c r="G79" i="13"/>
  <c r="F72" i="3"/>
  <c r="E77" i="13"/>
  <c r="C73" i="12" s="1"/>
  <c r="A74" i="12"/>
  <c r="I50" i="13"/>
  <c r="E46" i="12"/>
  <c r="F50" i="13"/>
  <c r="X76" i="13"/>
  <c r="C72" i="12"/>
  <c r="V77" i="13"/>
  <c r="W77" i="13" s="1"/>
  <c r="T77" i="13"/>
  <c r="U77" i="13" s="1"/>
  <c r="O79" i="13"/>
  <c r="J79" i="13"/>
  <c r="B79" i="13"/>
  <c r="R79" i="13"/>
  <c r="R75" i="12" s="1"/>
  <c r="N79" i="13"/>
  <c r="I75" i="12" s="1"/>
  <c r="C78" i="13"/>
  <c r="D78" i="13" s="1"/>
  <c r="B74" i="12" s="1"/>
  <c r="Q79" i="13"/>
  <c r="Q75" i="12" s="1"/>
  <c r="M79" i="13"/>
  <c r="P79" i="13"/>
  <c r="G75" i="12" s="1"/>
  <c r="K79" i="13"/>
  <c r="C42" i="10"/>
  <c r="F27" i="10"/>
  <c r="B65" i="10"/>
  <c r="C71" i="3"/>
  <c r="D71" i="3" s="1"/>
  <c r="A67" i="10"/>
  <c r="J73" i="3"/>
  <c r="N69" i="12" s="1"/>
  <c r="N67" i="10"/>
  <c r="M43" i="10"/>
  <c r="B72" i="3"/>
  <c r="M73" i="3"/>
  <c r="I68" i="10" s="1"/>
  <c r="N73" i="3"/>
  <c r="A73" i="3"/>
  <c r="S46" i="3"/>
  <c r="T46" i="3" s="1"/>
  <c r="L49" i="3"/>
  <c r="U46" i="3"/>
  <c r="V46" i="3" s="1"/>
  <c r="W46" i="3" s="1"/>
  <c r="G73" i="3" l="1"/>
  <c r="H80" i="13"/>
  <c r="G80" i="13"/>
  <c r="F73" i="3"/>
  <c r="E78" i="13"/>
  <c r="C74" i="12" s="1"/>
  <c r="A68" i="10"/>
  <c r="A75" i="12"/>
  <c r="S50" i="13"/>
  <c r="D46" i="12"/>
  <c r="X77" i="13"/>
  <c r="T78" i="13"/>
  <c r="U78" i="13" s="1"/>
  <c r="V78" i="13"/>
  <c r="W78" i="13" s="1"/>
  <c r="Q80" i="13"/>
  <c r="Q76" i="12" s="1"/>
  <c r="M80" i="13"/>
  <c r="P80" i="13"/>
  <c r="G76" i="12" s="1"/>
  <c r="K80" i="13"/>
  <c r="O80" i="13"/>
  <c r="J80" i="13"/>
  <c r="B80" i="13"/>
  <c r="R80" i="13"/>
  <c r="R76" i="12" s="1"/>
  <c r="N80" i="13"/>
  <c r="I76" i="12" s="1"/>
  <c r="C79" i="13"/>
  <c r="D79" i="13" s="1"/>
  <c r="B75" i="12" s="1"/>
  <c r="B66" i="10"/>
  <c r="C43" i="10"/>
  <c r="E27" i="10"/>
  <c r="C72" i="3"/>
  <c r="D72" i="3" s="1"/>
  <c r="N68" i="10"/>
  <c r="J74" i="3"/>
  <c r="N70" i="12" s="1"/>
  <c r="H32" i="3"/>
  <c r="B73" i="3"/>
  <c r="O74" i="3"/>
  <c r="G69" i="10" s="1"/>
  <c r="Q32" i="3"/>
  <c r="P33" i="3"/>
  <c r="E32" i="3"/>
  <c r="Q74" i="3"/>
  <c r="R69" i="10" s="1"/>
  <c r="P74" i="3"/>
  <c r="Q69" i="10" s="1"/>
  <c r="N74" i="3"/>
  <c r="M74" i="3"/>
  <c r="I69" i="10" s="1"/>
  <c r="A74" i="3"/>
  <c r="L50" i="3"/>
  <c r="I50" i="3"/>
  <c r="M46" i="12" s="1"/>
  <c r="U47" i="3"/>
  <c r="V47" i="3" s="1"/>
  <c r="W47" i="3" s="1"/>
  <c r="U48" i="3"/>
  <c r="V48" i="3" s="1"/>
  <c r="S47" i="3"/>
  <c r="T47" i="3" s="1"/>
  <c r="G74" i="3" l="1"/>
  <c r="H81" i="13"/>
  <c r="G81" i="13"/>
  <c r="F74" i="3"/>
  <c r="E79" i="13"/>
  <c r="C75" i="12" s="1"/>
  <c r="A69" i="10"/>
  <c r="A76" i="12"/>
  <c r="F47" i="12"/>
  <c r="V79" i="13"/>
  <c r="W79" i="13" s="1"/>
  <c r="T79" i="13"/>
  <c r="U79" i="13" s="1"/>
  <c r="X78" i="13"/>
  <c r="O81" i="13"/>
  <c r="J81" i="13"/>
  <c r="B81" i="13"/>
  <c r="R81" i="13"/>
  <c r="R77" i="12" s="1"/>
  <c r="N81" i="13"/>
  <c r="I77" i="12" s="1"/>
  <c r="C80" i="13"/>
  <c r="D80" i="13" s="1"/>
  <c r="B76" i="12" s="1"/>
  <c r="Q81" i="13"/>
  <c r="Q77" i="12" s="1"/>
  <c r="M81" i="13"/>
  <c r="P81" i="13"/>
  <c r="G77" i="12" s="1"/>
  <c r="K81" i="13"/>
  <c r="B67" i="10"/>
  <c r="C44" i="10"/>
  <c r="C73" i="3"/>
  <c r="D73" i="3" s="1"/>
  <c r="D27" i="10"/>
  <c r="N69" i="10"/>
  <c r="J75" i="3"/>
  <c r="N71" i="12" s="1"/>
  <c r="M45" i="10"/>
  <c r="Q28" i="10"/>
  <c r="R27" i="10"/>
  <c r="B74" i="3"/>
  <c r="O75" i="3"/>
  <c r="G70" i="10" s="1"/>
  <c r="P75" i="3"/>
  <c r="Q70" i="10" s="1"/>
  <c r="N75" i="3"/>
  <c r="Q75" i="3"/>
  <c r="R70" i="10" s="1"/>
  <c r="M75" i="3"/>
  <c r="I70" i="10" s="1"/>
  <c r="A75" i="3"/>
  <c r="L51" i="3"/>
  <c r="I51" i="3"/>
  <c r="M47" i="12" s="1"/>
  <c r="S48" i="3"/>
  <c r="T48" i="3" s="1"/>
  <c r="U49" i="3"/>
  <c r="V49" i="3" s="1"/>
  <c r="G75" i="3" l="1"/>
  <c r="G82" i="13"/>
  <c r="H82" i="13"/>
  <c r="F75" i="3"/>
  <c r="E80" i="13"/>
  <c r="C76" i="12" s="1"/>
  <c r="A70" i="10"/>
  <c r="A77" i="12"/>
  <c r="I51" i="13"/>
  <c r="E47" i="12"/>
  <c r="F51" i="13"/>
  <c r="X79" i="13"/>
  <c r="T80" i="13"/>
  <c r="U80" i="13" s="1"/>
  <c r="V80" i="13"/>
  <c r="W80" i="13" s="1"/>
  <c r="Q82" i="13"/>
  <c r="Q78" i="12" s="1"/>
  <c r="M82" i="13"/>
  <c r="P82" i="13"/>
  <c r="G78" i="12" s="1"/>
  <c r="K82" i="13"/>
  <c r="O82" i="13"/>
  <c r="J82" i="13"/>
  <c r="B82" i="13"/>
  <c r="R82" i="13"/>
  <c r="R78" i="12" s="1"/>
  <c r="N82" i="13"/>
  <c r="I78" i="12" s="1"/>
  <c r="C81" i="13"/>
  <c r="D81" i="13" s="1"/>
  <c r="B77" i="12" s="1"/>
  <c r="C45" i="10"/>
  <c r="F28" i="10"/>
  <c r="B68" i="10"/>
  <c r="C74" i="3"/>
  <c r="D74" i="3" s="1"/>
  <c r="N70" i="10"/>
  <c r="J76" i="3"/>
  <c r="N72" i="12" s="1"/>
  <c r="M46" i="10"/>
  <c r="B75" i="3"/>
  <c r="O76" i="3"/>
  <c r="G71" i="10" s="1"/>
  <c r="Q76" i="3"/>
  <c r="R71" i="10" s="1"/>
  <c r="P76" i="3"/>
  <c r="Q71" i="10" s="1"/>
  <c r="N76" i="3"/>
  <c r="M76" i="3"/>
  <c r="I71" i="10" s="1"/>
  <c r="A76" i="3"/>
  <c r="L52" i="3"/>
  <c r="I52" i="3"/>
  <c r="M48" i="12" s="1"/>
  <c r="S49" i="3"/>
  <c r="T49" i="3" s="1"/>
  <c r="W48" i="3"/>
  <c r="G76" i="3" l="1"/>
  <c r="H83" i="13"/>
  <c r="G83" i="13"/>
  <c r="F76" i="3"/>
  <c r="E81" i="13"/>
  <c r="C77" i="12" s="1"/>
  <c r="A71" i="10"/>
  <c r="A78" i="12"/>
  <c r="D47" i="12"/>
  <c r="S51" i="13"/>
  <c r="V81" i="13"/>
  <c r="W81" i="13" s="1"/>
  <c r="T81" i="13"/>
  <c r="U81" i="13" s="1"/>
  <c r="X80" i="13"/>
  <c r="O83" i="13"/>
  <c r="J83" i="13"/>
  <c r="B83" i="13"/>
  <c r="R83" i="13"/>
  <c r="R79" i="12" s="1"/>
  <c r="N83" i="13"/>
  <c r="I79" i="12" s="1"/>
  <c r="C82" i="13"/>
  <c r="D82" i="13" s="1"/>
  <c r="B78" i="12" s="1"/>
  <c r="Q83" i="13"/>
  <c r="Q79" i="12" s="1"/>
  <c r="M83" i="13"/>
  <c r="P83" i="13"/>
  <c r="G79" i="12" s="1"/>
  <c r="K83" i="13"/>
  <c r="C46" i="10"/>
  <c r="B69" i="10"/>
  <c r="E28" i="10"/>
  <c r="C75" i="3"/>
  <c r="D75" i="3" s="1"/>
  <c r="N71" i="10"/>
  <c r="J77" i="3"/>
  <c r="N73" i="12" s="1"/>
  <c r="M47" i="10"/>
  <c r="H33" i="3"/>
  <c r="B76" i="3"/>
  <c r="O77" i="3"/>
  <c r="G72" i="10" s="1"/>
  <c r="Q33" i="3"/>
  <c r="P34" i="3"/>
  <c r="E33" i="3"/>
  <c r="Q77" i="3"/>
  <c r="R72" i="10" s="1"/>
  <c r="M77" i="3"/>
  <c r="I72" i="10" s="1"/>
  <c r="P77" i="3"/>
  <c r="Q72" i="10" s="1"/>
  <c r="N77" i="3"/>
  <c r="A77" i="3"/>
  <c r="L53" i="3"/>
  <c r="I53" i="3"/>
  <c r="M49" i="12" s="1"/>
  <c r="W49" i="3"/>
  <c r="S50" i="3"/>
  <c r="T50" i="3" s="1"/>
  <c r="U50" i="3"/>
  <c r="V50" i="3" s="1"/>
  <c r="W50" i="3" s="1"/>
  <c r="U51" i="3"/>
  <c r="V51" i="3" s="1"/>
  <c r="G77" i="3" l="1"/>
  <c r="H84" i="13"/>
  <c r="G84" i="13"/>
  <c r="F77" i="3"/>
  <c r="E82" i="13"/>
  <c r="C78" i="12" s="1"/>
  <c r="A72" i="10"/>
  <c r="A79" i="12"/>
  <c r="F48" i="12"/>
  <c r="X81" i="13"/>
  <c r="T82" i="13"/>
  <c r="U82" i="13" s="1"/>
  <c r="V82" i="13"/>
  <c r="W82" i="13" s="1"/>
  <c r="Q84" i="13"/>
  <c r="Q80" i="12" s="1"/>
  <c r="M84" i="13"/>
  <c r="P84" i="13"/>
  <c r="G80" i="12" s="1"/>
  <c r="K84" i="13"/>
  <c r="O84" i="13"/>
  <c r="J84" i="13"/>
  <c r="B84" i="13"/>
  <c r="R84" i="13"/>
  <c r="R80" i="12" s="1"/>
  <c r="N84" i="13"/>
  <c r="I80" i="12" s="1"/>
  <c r="C83" i="13"/>
  <c r="D83" i="13" s="1"/>
  <c r="B79" i="12" s="1"/>
  <c r="B70" i="10"/>
  <c r="C47" i="10"/>
  <c r="C76" i="3"/>
  <c r="D76" i="3" s="1"/>
  <c r="D28" i="10"/>
  <c r="N72" i="10"/>
  <c r="J78" i="3"/>
  <c r="N74" i="12" s="1"/>
  <c r="Q29" i="10"/>
  <c r="M48" i="10"/>
  <c r="R28" i="10"/>
  <c r="B77" i="3"/>
  <c r="O78" i="3"/>
  <c r="G73" i="10" s="1"/>
  <c r="Q78" i="3"/>
  <c r="R73" i="10" s="1"/>
  <c r="P78" i="3"/>
  <c r="Q73" i="10" s="1"/>
  <c r="N78" i="3"/>
  <c r="M78" i="3"/>
  <c r="I73" i="10" s="1"/>
  <c r="A78" i="3"/>
  <c r="L54" i="3"/>
  <c r="I54" i="3"/>
  <c r="M50" i="12" s="1"/>
  <c r="S51" i="3"/>
  <c r="T51" i="3" s="1"/>
  <c r="G78" i="3" l="1"/>
  <c r="G85" i="13"/>
  <c r="H85" i="13"/>
  <c r="F78" i="3"/>
  <c r="E83" i="13"/>
  <c r="C79" i="12" s="1"/>
  <c r="A73" i="10"/>
  <c r="A80" i="12"/>
  <c r="I52" i="13"/>
  <c r="E48" i="12"/>
  <c r="F52" i="13"/>
  <c r="X82" i="13"/>
  <c r="V83" i="13"/>
  <c r="W83" i="13" s="1"/>
  <c r="T83" i="13"/>
  <c r="U83" i="13" s="1"/>
  <c r="N85" i="13"/>
  <c r="I81" i="12" s="1"/>
  <c r="J85" i="13"/>
  <c r="B85" i="13"/>
  <c r="M85" i="13"/>
  <c r="C84" i="13"/>
  <c r="D84" i="13" s="1"/>
  <c r="B80" i="12" s="1"/>
  <c r="P85" i="13"/>
  <c r="G81" i="12" s="1"/>
  <c r="O85" i="13"/>
  <c r="K85" i="13"/>
  <c r="C48" i="10"/>
  <c r="F29" i="10"/>
  <c r="B71" i="10"/>
  <c r="C77" i="3"/>
  <c r="D77" i="3" s="1"/>
  <c r="N73" i="10"/>
  <c r="J79" i="3"/>
  <c r="N75" i="12" s="1"/>
  <c r="M49" i="10"/>
  <c r="B78" i="3"/>
  <c r="O79" i="3"/>
  <c r="G74" i="10" s="1"/>
  <c r="Q79" i="3"/>
  <c r="R74" i="10" s="1"/>
  <c r="P79" i="3"/>
  <c r="Q74" i="10" s="1"/>
  <c r="N79" i="3"/>
  <c r="M79" i="3"/>
  <c r="I74" i="10" s="1"/>
  <c r="A79" i="3"/>
  <c r="L55" i="3"/>
  <c r="I55" i="3"/>
  <c r="M51" i="12" s="1"/>
  <c r="W51" i="3"/>
  <c r="S52" i="3"/>
  <c r="T52" i="3" s="1"/>
  <c r="S53" i="3"/>
  <c r="T53" i="3" s="1"/>
  <c r="U52" i="3"/>
  <c r="V52" i="3" s="1"/>
  <c r="W52" i="3" s="1"/>
  <c r="G79" i="3" l="1"/>
  <c r="F79" i="3"/>
  <c r="E84" i="13"/>
  <c r="C80" i="12" s="1"/>
  <c r="A74" i="10"/>
  <c r="S52" i="13"/>
  <c r="D48" i="12"/>
  <c r="X83" i="13"/>
  <c r="T84" i="13"/>
  <c r="U84" i="13" s="1"/>
  <c r="V84" i="13"/>
  <c r="W84" i="13" s="1"/>
  <c r="P86" i="13"/>
  <c r="K86" i="13"/>
  <c r="F85" i="13"/>
  <c r="O86" i="13"/>
  <c r="J86" i="13"/>
  <c r="B86" i="13"/>
  <c r="H86" i="13" s="1"/>
  <c r="E85" i="13"/>
  <c r="R86" i="13"/>
  <c r="N86" i="13"/>
  <c r="I86" i="13"/>
  <c r="Q86" i="13"/>
  <c r="M86" i="13"/>
  <c r="C85" i="13"/>
  <c r="D85" i="13" s="1"/>
  <c r="B72" i="10"/>
  <c r="C49" i="10"/>
  <c r="E29" i="10"/>
  <c r="C78" i="3"/>
  <c r="D78" i="3" s="1"/>
  <c r="N74" i="10"/>
  <c r="J80" i="3"/>
  <c r="N76" i="12" s="1"/>
  <c r="M50" i="10"/>
  <c r="H34" i="3"/>
  <c r="B79" i="3"/>
  <c r="O80" i="3"/>
  <c r="G75" i="10" s="1"/>
  <c r="Q34" i="3"/>
  <c r="P35" i="3"/>
  <c r="E34" i="3"/>
  <c r="Q80" i="3"/>
  <c r="R75" i="10" s="1"/>
  <c r="P80" i="3"/>
  <c r="Q75" i="10" s="1"/>
  <c r="N80" i="3"/>
  <c r="M80" i="3"/>
  <c r="I75" i="10" s="1"/>
  <c r="A80" i="3"/>
  <c r="L56" i="3"/>
  <c r="I56" i="3"/>
  <c r="M52" i="12" s="1"/>
  <c r="U53" i="3"/>
  <c r="V53" i="3" s="1"/>
  <c r="G80" i="3" l="1"/>
  <c r="F80" i="3"/>
  <c r="A75" i="10"/>
  <c r="F49" i="12"/>
  <c r="X84" i="13"/>
  <c r="V85" i="13"/>
  <c r="W85" i="13" s="1"/>
  <c r="X85" i="13" s="1"/>
  <c r="T85" i="13"/>
  <c r="U85" i="13" s="1"/>
  <c r="S86" i="13"/>
  <c r="N87" i="13"/>
  <c r="I87" i="13"/>
  <c r="C86" i="13"/>
  <c r="D86" i="13" s="1"/>
  <c r="R87" i="13"/>
  <c r="M87" i="13"/>
  <c r="F86" i="13"/>
  <c r="Q87" i="13"/>
  <c r="K87" i="13"/>
  <c r="E86" i="13"/>
  <c r="O87" i="13"/>
  <c r="J87" i="13"/>
  <c r="B87" i="13"/>
  <c r="B73" i="10"/>
  <c r="D29" i="10"/>
  <c r="C50" i="10"/>
  <c r="C79" i="3"/>
  <c r="D79" i="3" s="1"/>
  <c r="N75" i="10"/>
  <c r="J81" i="3"/>
  <c r="N77" i="12" s="1"/>
  <c r="Q30" i="10"/>
  <c r="M51" i="10"/>
  <c r="R29" i="10"/>
  <c r="B80" i="3"/>
  <c r="O81" i="3"/>
  <c r="G76" i="10" s="1"/>
  <c r="Q81" i="3"/>
  <c r="R76" i="10" s="1"/>
  <c r="P81" i="3"/>
  <c r="Q76" i="10" s="1"/>
  <c r="M81" i="3"/>
  <c r="I76" i="10" s="1"/>
  <c r="N81" i="3"/>
  <c r="A81" i="3"/>
  <c r="L57" i="3"/>
  <c r="I57" i="3"/>
  <c r="M53" i="12" s="1"/>
  <c r="S54" i="3"/>
  <c r="T54" i="3" s="1"/>
  <c r="W53" i="3"/>
  <c r="U54" i="3"/>
  <c r="V54" i="3" s="1"/>
  <c r="W54" i="3" s="1"/>
  <c r="G81" i="3" l="1"/>
  <c r="F81" i="3"/>
  <c r="A76" i="10"/>
  <c r="S87" i="13"/>
  <c r="I53" i="13"/>
  <c r="E49" i="12"/>
  <c r="F53" i="13"/>
  <c r="T86" i="13"/>
  <c r="U86" i="13" s="1"/>
  <c r="V86" i="13"/>
  <c r="W86" i="13" s="1"/>
  <c r="X86" i="13" s="1"/>
  <c r="R88" i="13"/>
  <c r="M88" i="13"/>
  <c r="E87" i="13"/>
  <c r="Q88" i="13"/>
  <c r="K88" i="13"/>
  <c r="O88" i="13"/>
  <c r="J88" i="13"/>
  <c r="B88" i="13"/>
  <c r="C87" i="13"/>
  <c r="D87" i="13" s="1"/>
  <c r="N88" i="13"/>
  <c r="I88" i="13"/>
  <c r="F87" i="13"/>
  <c r="G86" i="13"/>
  <c r="H87" i="13"/>
  <c r="F30" i="10"/>
  <c r="B74" i="10"/>
  <c r="C51" i="10"/>
  <c r="C80" i="3"/>
  <c r="D80" i="3" s="1"/>
  <c r="N76" i="10"/>
  <c r="J82" i="3"/>
  <c r="N78" i="12" s="1"/>
  <c r="M52" i="10"/>
  <c r="B81" i="3"/>
  <c r="O82" i="3"/>
  <c r="G77" i="10" s="1"/>
  <c r="Q82" i="3"/>
  <c r="R77" i="10" s="1"/>
  <c r="P82" i="3"/>
  <c r="Q77" i="10" s="1"/>
  <c r="N82" i="3"/>
  <c r="M82" i="3"/>
  <c r="I77" i="10" s="1"/>
  <c r="A82" i="3"/>
  <c r="L58" i="3"/>
  <c r="I58" i="3"/>
  <c r="M54" i="12" s="1"/>
  <c r="U55" i="3"/>
  <c r="V55" i="3" s="1"/>
  <c r="W55" i="3" s="1"/>
  <c r="S55" i="3"/>
  <c r="T55" i="3" s="1"/>
  <c r="G82" i="3" l="1"/>
  <c r="F82" i="3"/>
  <c r="A77" i="10"/>
  <c r="D49" i="12"/>
  <c r="S53" i="13"/>
  <c r="Q89" i="13"/>
  <c r="K89" i="13"/>
  <c r="O89" i="13"/>
  <c r="J89" i="13"/>
  <c r="B89" i="13"/>
  <c r="H89" i="13" s="1"/>
  <c r="C88" i="13"/>
  <c r="D88" i="13" s="1"/>
  <c r="N89" i="13"/>
  <c r="I89" i="13"/>
  <c r="F88" i="13"/>
  <c r="R89" i="13"/>
  <c r="M89" i="13"/>
  <c r="E88" i="13"/>
  <c r="G87" i="13"/>
  <c r="S88" i="13"/>
  <c r="V87" i="13"/>
  <c r="W87" i="13" s="1"/>
  <c r="X87" i="13" s="1"/>
  <c r="T87" i="13"/>
  <c r="U87" i="13" s="1"/>
  <c r="H88" i="13"/>
  <c r="B75" i="10"/>
  <c r="C52" i="10"/>
  <c r="E30" i="10"/>
  <c r="C81" i="3"/>
  <c r="D81" i="3" s="1"/>
  <c r="N77" i="10"/>
  <c r="J83" i="3"/>
  <c r="N79" i="12" s="1"/>
  <c r="M53" i="10"/>
  <c r="H35" i="3"/>
  <c r="B82" i="3"/>
  <c r="O83" i="3"/>
  <c r="G78" i="10" s="1"/>
  <c r="Q35" i="3"/>
  <c r="E35" i="3"/>
  <c r="P36" i="3"/>
  <c r="P83" i="3"/>
  <c r="Q78" i="10" s="1"/>
  <c r="Q83" i="3"/>
  <c r="R78" i="10" s="1"/>
  <c r="N83" i="3"/>
  <c r="M83" i="3"/>
  <c r="I78" i="10" s="1"/>
  <c r="A83" i="3"/>
  <c r="S56" i="3"/>
  <c r="T56" i="3" s="1"/>
  <c r="L59" i="3"/>
  <c r="I59" i="3"/>
  <c r="M55" i="12" s="1"/>
  <c r="U56" i="3"/>
  <c r="V56" i="3" s="1"/>
  <c r="G83" i="3" l="1"/>
  <c r="F83" i="3"/>
  <c r="A78" i="10"/>
  <c r="F50" i="12"/>
  <c r="V88" i="13"/>
  <c r="W88" i="13" s="1"/>
  <c r="X88" i="13" s="1"/>
  <c r="T88" i="13"/>
  <c r="U88" i="13" s="1"/>
  <c r="O90" i="13"/>
  <c r="J90" i="13"/>
  <c r="B90" i="13"/>
  <c r="H90" i="13" s="1"/>
  <c r="C89" i="13"/>
  <c r="D89" i="13" s="1"/>
  <c r="N90" i="13"/>
  <c r="I90" i="13"/>
  <c r="F89" i="13"/>
  <c r="R90" i="13"/>
  <c r="M90" i="13"/>
  <c r="E89" i="13"/>
  <c r="Q90" i="13"/>
  <c r="K90" i="13"/>
  <c r="G88" i="13"/>
  <c r="S89" i="13"/>
  <c r="D30" i="10"/>
  <c r="B76" i="10"/>
  <c r="C53" i="10"/>
  <c r="C82" i="3"/>
  <c r="D82" i="3" s="1"/>
  <c r="N78" i="10"/>
  <c r="J84" i="3"/>
  <c r="N80" i="12" s="1"/>
  <c r="M54" i="10"/>
  <c r="Q31" i="10"/>
  <c r="R30" i="10"/>
  <c r="B83" i="3"/>
  <c r="O84" i="3"/>
  <c r="G79" i="10" s="1"/>
  <c r="Q84" i="3"/>
  <c r="R79" i="10" s="1"/>
  <c r="P84" i="3"/>
  <c r="Q79" i="10" s="1"/>
  <c r="N84" i="3"/>
  <c r="M84" i="3"/>
  <c r="I79" i="10" s="1"/>
  <c r="A84" i="3"/>
  <c r="L60" i="3"/>
  <c r="I60" i="3"/>
  <c r="M56" i="12" s="1"/>
  <c r="W56" i="3"/>
  <c r="U57" i="3"/>
  <c r="V57" i="3" s="1"/>
  <c r="W57" i="3" s="1"/>
  <c r="S57" i="3"/>
  <c r="T57" i="3" s="1"/>
  <c r="U58" i="3"/>
  <c r="V58" i="3" s="1"/>
  <c r="G84" i="3" l="1"/>
  <c r="G85" i="3" s="1"/>
  <c r="F84" i="3"/>
  <c r="F85" i="3" s="1"/>
  <c r="I54" i="13"/>
  <c r="E50" i="12"/>
  <c r="F54" i="13"/>
  <c r="T89" i="13"/>
  <c r="U89" i="13" s="1"/>
  <c r="V89" i="13"/>
  <c r="W89" i="13" s="1"/>
  <c r="X89" i="13" s="1"/>
  <c r="N91" i="13"/>
  <c r="I91" i="13"/>
  <c r="F90" i="13"/>
  <c r="R91" i="13"/>
  <c r="M91" i="13"/>
  <c r="E90" i="13"/>
  <c r="Q91" i="13"/>
  <c r="K91" i="13"/>
  <c r="O91" i="13"/>
  <c r="J91" i="13"/>
  <c r="B91" i="13"/>
  <c r="C90" i="13"/>
  <c r="D90" i="13" s="1"/>
  <c r="G89" i="13"/>
  <c r="S90" i="13"/>
  <c r="F31" i="10"/>
  <c r="B77" i="10"/>
  <c r="C54" i="10"/>
  <c r="C83" i="3"/>
  <c r="D83" i="3" s="1"/>
  <c r="A79" i="10"/>
  <c r="J85" i="3"/>
  <c r="N81" i="12" s="1"/>
  <c r="N79" i="10"/>
  <c r="M55" i="10"/>
  <c r="B84" i="3"/>
  <c r="M85" i="3"/>
  <c r="I80" i="10" s="1"/>
  <c r="N85" i="3"/>
  <c r="A85" i="3"/>
  <c r="A80" i="10" s="1"/>
  <c r="L61" i="3"/>
  <c r="I61" i="3"/>
  <c r="M57" i="12" s="1"/>
  <c r="S58" i="3"/>
  <c r="T58" i="3" s="1"/>
  <c r="S59" i="3"/>
  <c r="T59" i="3" s="1"/>
  <c r="D50" i="12" l="1"/>
  <c r="S54" i="13"/>
  <c r="R92" i="13"/>
  <c r="M92" i="13"/>
  <c r="E91" i="13"/>
  <c r="Q92" i="13"/>
  <c r="K92" i="13"/>
  <c r="O92" i="13"/>
  <c r="J92" i="13"/>
  <c r="B92" i="13"/>
  <c r="H92" i="13" s="1"/>
  <c r="C91" i="13"/>
  <c r="D91" i="13" s="1"/>
  <c r="N92" i="13"/>
  <c r="I92" i="13"/>
  <c r="F91" i="13"/>
  <c r="G90" i="13"/>
  <c r="T90" i="13"/>
  <c r="U90" i="13" s="1"/>
  <c r="V90" i="13"/>
  <c r="W90" i="13" s="1"/>
  <c r="X90" i="13" s="1"/>
  <c r="H91" i="13"/>
  <c r="S91" i="13"/>
  <c r="B78" i="10"/>
  <c r="C55" i="10"/>
  <c r="E31" i="10"/>
  <c r="C84" i="3"/>
  <c r="D84" i="3" s="1"/>
  <c r="M56" i="10"/>
  <c r="N80" i="10"/>
  <c r="H36" i="3"/>
  <c r="B85" i="3"/>
  <c r="O86" i="3"/>
  <c r="E36" i="3"/>
  <c r="N86" i="3"/>
  <c r="M86" i="3"/>
  <c r="A86" i="3"/>
  <c r="A81" i="10" s="1"/>
  <c r="L62" i="3"/>
  <c r="I62" i="3"/>
  <c r="M58" i="12" s="1"/>
  <c r="U59" i="3"/>
  <c r="V59" i="3" s="1"/>
  <c r="W58" i="3"/>
  <c r="F51" i="12" l="1"/>
  <c r="V91" i="13"/>
  <c r="W91" i="13" s="1"/>
  <c r="X91" i="13" s="1"/>
  <c r="T91" i="13"/>
  <c r="U91" i="13" s="1"/>
  <c r="Q93" i="13"/>
  <c r="K93" i="13"/>
  <c r="O93" i="13"/>
  <c r="J93" i="13"/>
  <c r="B93" i="13"/>
  <c r="C92" i="13"/>
  <c r="D92" i="13" s="1"/>
  <c r="N93" i="13"/>
  <c r="I93" i="13"/>
  <c r="F92" i="13"/>
  <c r="R93" i="13"/>
  <c r="M93" i="13"/>
  <c r="E92" i="13"/>
  <c r="G91" i="13"/>
  <c r="S92" i="13"/>
  <c r="B79" i="10"/>
  <c r="C56" i="10"/>
  <c r="D31" i="10"/>
  <c r="C85" i="3"/>
  <c r="B80" i="10"/>
  <c r="M57" i="10"/>
  <c r="B86" i="3"/>
  <c r="C86" i="3" s="1"/>
  <c r="K37" i="3"/>
  <c r="Q87" i="3"/>
  <c r="P87" i="3"/>
  <c r="N87" i="3"/>
  <c r="M87" i="3"/>
  <c r="A87" i="3"/>
  <c r="L63" i="3"/>
  <c r="I63" i="3"/>
  <c r="M59" i="12" s="1"/>
  <c r="S60" i="3"/>
  <c r="T60" i="3" s="1"/>
  <c r="W59" i="3"/>
  <c r="U60" i="3"/>
  <c r="V60" i="3" s="1"/>
  <c r="W60" i="3" s="1"/>
  <c r="U61" i="3"/>
  <c r="V61" i="3" s="1"/>
  <c r="I55" i="13" l="1"/>
  <c r="E51" i="12"/>
  <c r="F55" i="13"/>
  <c r="O94" i="13"/>
  <c r="J94" i="13"/>
  <c r="B94" i="13"/>
  <c r="C93" i="13"/>
  <c r="D93" i="13" s="1"/>
  <c r="N94" i="13"/>
  <c r="I94" i="13"/>
  <c r="F93" i="13"/>
  <c r="R94" i="13"/>
  <c r="M94" i="13"/>
  <c r="E93" i="13"/>
  <c r="Q94" i="13"/>
  <c r="K94" i="13"/>
  <c r="G92" i="13"/>
  <c r="H93" i="13"/>
  <c r="S93" i="13"/>
  <c r="V92" i="13"/>
  <c r="W92" i="13" s="1"/>
  <c r="X92" i="13" s="1"/>
  <c r="T92" i="13"/>
  <c r="U92" i="13" s="1"/>
  <c r="C57" i="10"/>
  <c r="O32" i="10"/>
  <c r="O33" i="12"/>
  <c r="F32" i="10"/>
  <c r="M58" i="10"/>
  <c r="B87" i="3"/>
  <c r="C87" i="3" s="1"/>
  <c r="Y3" i="3"/>
  <c r="Z3" i="3" s="1"/>
  <c r="Q88" i="3"/>
  <c r="P88" i="3"/>
  <c r="N88" i="3"/>
  <c r="M88" i="3"/>
  <c r="A88" i="3"/>
  <c r="L64" i="3"/>
  <c r="I64" i="3"/>
  <c r="M60" i="12" s="1"/>
  <c r="S61" i="3"/>
  <c r="T61" i="3" s="1"/>
  <c r="S55" i="13" l="1"/>
  <c r="D51" i="12"/>
  <c r="T93" i="13"/>
  <c r="U93" i="13" s="1"/>
  <c r="V93" i="13"/>
  <c r="W93" i="13" s="1"/>
  <c r="X93" i="13" s="1"/>
  <c r="N95" i="13"/>
  <c r="I95" i="13"/>
  <c r="F94" i="13"/>
  <c r="R95" i="13"/>
  <c r="M95" i="13"/>
  <c r="E94" i="13"/>
  <c r="Q95" i="13"/>
  <c r="K95" i="13"/>
  <c r="O95" i="13"/>
  <c r="J95" i="13"/>
  <c r="B95" i="13"/>
  <c r="C94" i="13"/>
  <c r="D94" i="13" s="1"/>
  <c r="G93" i="13"/>
  <c r="H94" i="13"/>
  <c r="S94" i="13"/>
  <c r="E32" i="10"/>
  <c r="C58" i="10"/>
  <c r="M59" i="10"/>
  <c r="B88" i="3"/>
  <c r="C88" i="3" s="1"/>
  <c r="E37" i="3"/>
  <c r="Q89" i="3"/>
  <c r="P89" i="3"/>
  <c r="M89" i="3"/>
  <c r="N89" i="3"/>
  <c r="A89" i="3"/>
  <c r="F87" i="3"/>
  <c r="L65" i="3"/>
  <c r="I65" i="3"/>
  <c r="M61" i="12" s="1"/>
  <c r="U62" i="3"/>
  <c r="V62" i="3" s="1"/>
  <c r="W62" i="3" s="1"/>
  <c r="S62" i="3"/>
  <c r="T62" i="3" s="1"/>
  <c r="W61" i="3"/>
  <c r="F52" i="12" l="1"/>
  <c r="R96" i="13"/>
  <c r="M96" i="13"/>
  <c r="E95" i="13"/>
  <c r="Q96" i="13"/>
  <c r="K96" i="13"/>
  <c r="O96" i="13"/>
  <c r="J96" i="13"/>
  <c r="B96" i="13"/>
  <c r="H96" i="13" s="1"/>
  <c r="C95" i="13"/>
  <c r="D95" i="13" s="1"/>
  <c r="N96" i="13"/>
  <c r="I96" i="13"/>
  <c r="F95" i="13"/>
  <c r="G94" i="13"/>
  <c r="T94" i="13"/>
  <c r="U94" i="13" s="1"/>
  <c r="V94" i="13"/>
  <c r="W94" i="13" s="1"/>
  <c r="X94" i="13" s="1"/>
  <c r="H95" i="13"/>
  <c r="S95" i="13"/>
  <c r="C59" i="10"/>
  <c r="M60" i="10"/>
  <c r="B89" i="3"/>
  <c r="C89" i="3" s="1"/>
  <c r="Q90" i="3"/>
  <c r="P90" i="3"/>
  <c r="N90" i="3"/>
  <c r="M90" i="3"/>
  <c r="A90" i="3"/>
  <c r="B90" i="3" s="1"/>
  <c r="C90" i="3" s="1"/>
  <c r="F88" i="3"/>
  <c r="L66" i="3"/>
  <c r="I66" i="3"/>
  <c r="M62" i="12" s="1"/>
  <c r="S63" i="3"/>
  <c r="T63" i="3" s="1"/>
  <c r="U63" i="3"/>
  <c r="V63" i="3" s="1"/>
  <c r="W63" i="3" s="1"/>
  <c r="S96" i="13" l="1"/>
  <c r="I56" i="13"/>
  <c r="E52" i="12"/>
  <c r="F56" i="13"/>
  <c r="V95" i="13"/>
  <c r="W95" i="13" s="1"/>
  <c r="X95" i="13" s="1"/>
  <c r="T95" i="13"/>
  <c r="U95" i="13" s="1"/>
  <c r="O97" i="13"/>
  <c r="N97" i="13"/>
  <c r="J97" i="13"/>
  <c r="B97" i="13"/>
  <c r="C96" i="13"/>
  <c r="D96" i="13" s="1"/>
  <c r="R97" i="13"/>
  <c r="M97" i="13"/>
  <c r="I97" i="13"/>
  <c r="F96" i="13"/>
  <c r="Q97" i="13"/>
  <c r="E96" i="13"/>
  <c r="K97" i="13"/>
  <c r="L97" i="13"/>
  <c r="G95" i="13"/>
  <c r="C60" i="10"/>
  <c r="F33" i="10"/>
  <c r="M61" i="10"/>
  <c r="P91" i="3"/>
  <c r="N91" i="3"/>
  <c r="Q91" i="3"/>
  <c r="M91" i="3"/>
  <c r="A91" i="3"/>
  <c r="B91" i="3" s="1"/>
  <c r="C91" i="3" s="1"/>
  <c r="F89" i="3"/>
  <c r="U64" i="3"/>
  <c r="V64" i="3" s="1"/>
  <c r="W64" i="3" s="1"/>
  <c r="L67" i="3"/>
  <c r="I67" i="3"/>
  <c r="M63" i="12" s="1"/>
  <c r="S64" i="3"/>
  <c r="T64" i="3" s="1"/>
  <c r="S97" i="13" l="1"/>
  <c r="D52" i="12"/>
  <c r="S56" i="13"/>
  <c r="N98" i="13"/>
  <c r="I98" i="13"/>
  <c r="C97" i="13"/>
  <c r="D97" i="13" s="1"/>
  <c r="R98" i="13"/>
  <c r="M98" i="13"/>
  <c r="F97" i="13"/>
  <c r="Q98" i="13"/>
  <c r="K98" i="13"/>
  <c r="E97" i="13"/>
  <c r="O98" i="13"/>
  <c r="J98" i="13"/>
  <c r="B98" i="13"/>
  <c r="G96" i="13"/>
  <c r="H97" i="13"/>
  <c r="V96" i="13"/>
  <c r="W96" i="13" s="1"/>
  <c r="X96" i="13" s="1"/>
  <c r="T96" i="13"/>
  <c r="U96" i="13" s="1"/>
  <c r="C61" i="10"/>
  <c r="M62" i="10"/>
  <c r="H38" i="3"/>
  <c r="E33" i="10"/>
  <c r="E38" i="3"/>
  <c r="Q92" i="3"/>
  <c r="P92" i="3"/>
  <c r="N92" i="3"/>
  <c r="M92" i="3"/>
  <c r="A92" i="3"/>
  <c r="B92" i="3" s="1"/>
  <c r="C92" i="3" s="1"/>
  <c r="F90" i="3"/>
  <c r="L68" i="3"/>
  <c r="I68" i="3"/>
  <c r="M64" i="12" s="1"/>
  <c r="S65" i="3"/>
  <c r="T65" i="3" s="1"/>
  <c r="U65" i="3"/>
  <c r="V65" i="3" s="1"/>
  <c r="W65" i="3" s="1"/>
  <c r="F53" i="12" l="1"/>
  <c r="T97" i="13"/>
  <c r="U97" i="13" s="1"/>
  <c r="V97" i="13"/>
  <c r="W97" i="13" s="1"/>
  <c r="X97" i="13" s="1"/>
  <c r="R99" i="13"/>
  <c r="M99" i="13"/>
  <c r="E98" i="13"/>
  <c r="Q99" i="13"/>
  <c r="K99" i="13"/>
  <c r="O99" i="13"/>
  <c r="J99" i="13"/>
  <c r="B99" i="13"/>
  <c r="H99" i="13" s="1"/>
  <c r="C98" i="13"/>
  <c r="D98" i="13" s="1"/>
  <c r="N99" i="13"/>
  <c r="I99" i="13"/>
  <c r="F98" i="13"/>
  <c r="G97" i="13"/>
  <c r="H98" i="13"/>
  <c r="S98" i="13"/>
  <c r="C62" i="10"/>
  <c r="D33" i="10"/>
  <c r="M63" i="10"/>
  <c r="R38" i="3"/>
  <c r="Q93" i="3"/>
  <c r="M93" i="3"/>
  <c r="P93" i="3"/>
  <c r="N93" i="3"/>
  <c r="A93" i="3"/>
  <c r="B93" i="3" s="1"/>
  <c r="C93" i="3" s="1"/>
  <c r="F91" i="3"/>
  <c r="L69" i="3"/>
  <c r="I69" i="3"/>
  <c r="M65" i="12" s="1"/>
  <c r="U66" i="3"/>
  <c r="V66" i="3" s="1"/>
  <c r="W66" i="3" s="1"/>
  <c r="S66" i="3"/>
  <c r="T66" i="3" s="1"/>
  <c r="S99" i="13" l="1"/>
  <c r="I57" i="13"/>
  <c r="E53" i="12"/>
  <c r="F57" i="13"/>
  <c r="V98" i="13"/>
  <c r="W98" i="13" s="1"/>
  <c r="X98" i="13" s="1"/>
  <c r="T98" i="13"/>
  <c r="U98" i="13" s="1"/>
  <c r="Q100" i="13"/>
  <c r="K100" i="13"/>
  <c r="O100" i="13"/>
  <c r="J100" i="13"/>
  <c r="B100" i="13"/>
  <c r="C99" i="13"/>
  <c r="D99" i="13" s="1"/>
  <c r="N100" i="13"/>
  <c r="I100" i="13"/>
  <c r="F99" i="13"/>
  <c r="R100" i="13"/>
  <c r="M100" i="13"/>
  <c r="E99" i="13"/>
  <c r="G98" i="13"/>
  <c r="C63" i="10"/>
  <c r="M64" i="10"/>
  <c r="F34" i="10"/>
  <c r="Q94" i="3"/>
  <c r="P94" i="3"/>
  <c r="N94" i="3"/>
  <c r="M94" i="3"/>
  <c r="A94" i="3"/>
  <c r="B94" i="3" s="1"/>
  <c r="C94" i="3" s="1"/>
  <c r="F92" i="3"/>
  <c r="L70" i="3"/>
  <c r="I70" i="3"/>
  <c r="M66" i="12" s="1"/>
  <c r="S67" i="3"/>
  <c r="T67" i="3" s="1"/>
  <c r="U67" i="3"/>
  <c r="V67" i="3" s="1"/>
  <c r="W67" i="3" s="1"/>
  <c r="S57" i="13" l="1"/>
  <c r="D53" i="12"/>
  <c r="V99" i="13"/>
  <c r="W99" i="13" s="1"/>
  <c r="X99" i="13" s="1"/>
  <c r="T99" i="13"/>
  <c r="U99" i="13" s="1"/>
  <c r="O101" i="13"/>
  <c r="J101" i="13"/>
  <c r="B101" i="13"/>
  <c r="C100" i="13"/>
  <c r="D100" i="13" s="1"/>
  <c r="N101" i="13"/>
  <c r="I101" i="13"/>
  <c r="F100" i="13"/>
  <c r="R101" i="13"/>
  <c r="M101" i="13"/>
  <c r="E100" i="13"/>
  <c r="Q101" i="13"/>
  <c r="K101" i="13"/>
  <c r="G99" i="13"/>
  <c r="H100" i="13"/>
  <c r="S100" i="13"/>
  <c r="C64" i="10"/>
  <c r="E34" i="10"/>
  <c r="M65" i="10"/>
  <c r="E39" i="3"/>
  <c r="H39" i="3"/>
  <c r="Q95" i="3"/>
  <c r="P95" i="3"/>
  <c r="N95" i="3"/>
  <c r="M95" i="3"/>
  <c r="A95" i="3"/>
  <c r="B95" i="3" s="1"/>
  <c r="C95" i="3" s="1"/>
  <c r="F93" i="3"/>
  <c r="L71" i="3"/>
  <c r="I71" i="3"/>
  <c r="M67" i="12" s="1"/>
  <c r="S68" i="3"/>
  <c r="T68" i="3" s="1"/>
  <c r="U68" i="3"/>
  <c r="V68" i="3" s="1"/>
  <c r="W68" i="3" s="1"/>
  <c r="S101" i="13" l="1"/>
  <c r="F54" i="12"/>
  <c r="N102" i="13"/>
  <c r="I102" i="13"/>
  <c r="F101" i="13"/>
  <c r="R102" i="13"/>
  <c r="M102" i="13"/>
  <c r="E101" i="13"/>
  <c r="Q102" i="13"/>
  <c r="K102" i="13"/>
  <c r="O102" i="13"/>
  <c r="J102" i="13"/>
  <c r="B102" i="13"/>
  <c r="H102" i="13" s="1"/>
  <c r="C101" i="13"/>
  <c r="D101" i="13" s="1"/>
  <c r="G100" i="13"/>
  <c r="H101" i="13"/>
  <c r="T100" i="13"/>
  <c r="U100" i="13" s="1"/>
  <c r="V100" i="13"/>
  <c r="W100" i="13" s="1"/>
  <c r="X100" i="13" s="1"/>
  <c r="C65" i="10"/>
  <c r="F35" i="10"/>
  <c r="M66" i="10"/>
  <c r="D34" i="10"/>
  <c r="R39" i="3"/>
  <c r="Q96" i="3"/>
  <c r="P96" i="3"/>
  <c r="N96" i="3"/>
  <c r="M96" i="3"/>
  <c r="A96" i="3"/>
  <c r="B96" i="3" s="1"/>
  <c r="C96" i="3" s="1"/>
  <c r="F94" i="3"/>
  <c r="L72" i="3"/>
  <c r="I72" i="3"/>
  <c r="M68" i="12" s="1"/>
  <c r="S69" i="3"/>
  <c r="T69" i="3" s="1"/>
  <c r="U69" i="3"/>
  <c r="V69" i="3" s="1"/>
  <c r="I58" i="13" l="1"/>
  <c r="E54" i="12"/>
  <c r="F58" i="13"/>
  <c r="T101" i="13"/>
  <c r="U101" i="13" s="1"/>
  <c r="V101" i="13"/>
  <c r="W101" i="13" s="1"/>
  <c r="X101" i="13" s="1"/>
  <c r="S102" i="13"/>
  <c r="R103" i="13"/>
  <c r="M103" i="13"/>
  <c r="E102" i="13"/>
  <c r="Q103" i="13"/>
  <c r="K103" i="13"/>
  <c r="O103" i="13"/>
  <c r="J103" i="13"/>
  <c r="B103" i="13"/>
  <c r="C102" i="13"/>
  <c r="D102" i="13" s="1"/>
  <c r="N103" i="13"/>
  <c r="I103" i="13"/>
  <c r="F102" i="13"/>
  <c r="G101" i="13"/>
  <c r="C66" i="10"/>
  <c r="E35" i="10"/>
  <c r="H40" i="3"/>
  <c r="M67" i="10"/>
  <c r="E40" i="3"/>
  <c r="M97" i="3"/>
  <c r="N97" i="3"/>
  <c r="A97" i="3"/>
  <c r="B97" i="3" s="1"/>
  <c r="C97" i="3" s="1"/>
  <c r="F95" i="3"/>
  <c r="L73" i="3"/>
  <c r="I73" i="3"/>
  <c r="M69" i="12" s="1"/>
  <c r="W69" i="3"/>
  <c r="U70" i="3"/>
  <c r="V70" i="3" s="1"/>
  <c r="W70" i="3" s="1"/>
  <c r="U71" i="3"/>
  <c r="V71" i="3" s="1"/>
  <c r="S70" i="3"/>
  <c r="T70" i="3" s="1"/>
  <c r="S58" i="13" l="1"/>
  <c r="D54" i="12"/>
  <c r="Q104" i="13"/>
  <c r="K104" i="13"/>
  <c r="O104" i="13"/>
  <c r="J104" i="13"/>
  <c r="B104" i="13"/>
  <c r="H104" i="13" s="1"/>
  <c r="C103" i="13"/>
  <c r="D103" i="13" s="1"/>
  <c r="N104" i="13"/>
  <c r="I104" i="13"/>
  <c r="F103" i="13"/>
  <c r="R104" i="13"/>
  <c r="M104" i="13"/>
  <c r="E103" i="13"/>
  <c r="G102" i="13"/>
  <c r="S103" i="13"/>
  <c r="V102" i="13"/>
  <c r="W102" i="13" s="1"/>
  <c r="X102" i="13" s="1"/>
  <c r="T102" i="13"/>
  <c r="U102" i="13" s="1"/>
  <c r="H103" i="13"/>
  <c r="F36" i="10"/>
  <c r="C67" i="10"/>
  <c r="D35" i="10"/>
  <c r="R40" i="3"/>
  <c r="M68" i="10"/>
  <c r="Q98" i="3"/>
  <c r="P98" i="3"/>
  <c r="N98" i="3"/>
  <c r="M98" i="3"/>
  <c r="A98" i="3"/>
  <c r="B98" i="3" s="1"/>
  <c r="C98" i="3" s="1"/>
  <c r="F96" i="3"/>
  <c r="L74" i="3"/>
  <c r="I74" i="3"/>
  <c r="M70" i="12" s="1"/>
  <c r="S71" i="3"/>
  <c r="T71" i="3" s="1"/>
  <c r="S72" i="3"/>
  <c r="T72" i="3" s="1"/>
  <c r="F55" i="12" l="1"/>
  <c r="V103" i="13"/>
  <c r="W103" i="13" s="1"/>
  <c r="X103" i="13" s="1"/>
  <c r="T103" i="13"/>
  <c r="U103" i="13" s="1"/>
  <c r="O105" i="13"/>
  <c r="J105" i="13"/>
  <c r="B105" i="13"/>
  <c r="H105" i="13" s="1"/>
  <c r="C104" i="13"/>
  <c r="D104" i="13" s="1"/>
  <c r="N105" i="13"/>
  <c r="I105" i="13"/>
  <c r="F104" i="13"/>
  <c r="R105" i="13"/>
  <c r="M105" i="13"/>
  <c r="E104" i="13"/>
  <c r="Q105" i="13"/>
  <c r="K105" i="13"/>
  <c r="G103" i="13"/>
  <c r="S104" i="13"/>
  <c r="C68" i="10"/>
  <c r="E36" i="10"/>
  <c r="M69" i="10"/>
  <c r="H41" i="3"/>
  <c r="E41" i="3"/>
  <c r="P99" i="3"/>
  <c r="Q99" i="3"/>
  <c r="N99" i="3"/>
  <c r="M99" i="3"/>
  <c r="A99" i="3"/>
  <c r="B99" i="3" s="1"/>
  <c r="C99" i="3" s="1"/>
  <c r="F97" i="3"/>
  <c r="L75" i="3"/>
  <c r="I75" i="3"/>
  <c r="M71" i="12" s="1"/>
  <c r="W71" i="3"/>
  <c r="U72" i="3"/>
  <c r="V72" i="3" s="1"/>
  <c r="S73" i="3"/>
  <c r="T73" i="3" s="1"/>
  <c r="I59" i="13" l="1"/>
  <c r="E55" i="12"/>
  <c r="F59" i="13"/>
  <c r="T104" i="13"/>
  <c r="U104" i="13" s="1"/>
  <c r="V104" i="13"/>
  <c r="W104" i="13" s="1"/>
  <c r="X104" i="13" s="1"/>
  <c r="N106" i="13"/>
  <c r="I106" i="13"/>
  <c r="F105" i="13"/>
  <c r="R106" i="13"/>
  <c r="M106" i="13"/>
  <c r="E105" i="13"/>
  <c r="Q106" i="13"/>
  <c r="K106" i="13"/>
  <c r="O106" i="13"/>
  <c r="J106" i="13"/>
  <c r="B106" i="13"/>
  <c r="C105" i="13"/>
  <c r="D105" i="13" s="1"/>
  <c r="G104" i="13"/>
  <c r="S105" i="13"/>
  <c r="C69" i="10"/>
  <c r="D36" i="10"/>
  <c r="M70" i="10"/>
  <c r="R41" i="3"/>
  <c r="Q100" i="3"/>
  <c r="P100" i="3"/>
  <c r="N100" i="3"/>
  <c r="M100" i="3"/>
  <c r="A100" i="3"/>
  <c r="B100" i="3" s="1"/>
  <c r="C100" i="3" s="1"/>
  <c r="F98" i="3"/>
  <c r="L76" i="3"/>
  <c r="I76" i="3"/>
  <c r="M72" i="12" s="1"/>
  <c r="W72" i="3"/>
  <c r="U73" i="3"/>
  <c r="V73" i="3" s="1"/>
  <c r="U74" i="3"/>
  <c r="V74" i="3" s="1"/>
  <c r="D55" i="12" l="1"/>
  <c r="S59" i="13"/>
  <c r="R107" i="13"/>
  <c r="M107" i="13"/>
  <c r="E106" i="13"/>
  <c r="Q107" i="13"/>
  <c r="K107" i="13"/>
  <c r="O107" i="13"/>
  <c r="J107" i="13"/>
  <c r="B107" i="13"/>
  <c r="H107" i="13" s="1"/>
  <c r="C106" i="13"/>
  <c r="D106" i="13" s="1"/>
  <c r="N107" i="13"/>
  <c r="I107" i="13"/>
  <c r="F106" i="13"/>
  <c r="G105" i="13"/>
  <c r="T105" i="13"/>
  <c r="U105" i="13" s="1"/>
  <c r="V105" i="13"/>
  <c r="W105" i="13" s="1"/>
  <c r="X105" i="13" s="1"/>
  <c r="H106" i="13"/>
  <c r="S106" i="13"/>
  <c r="F37" i="10"/>
  <c r="C70" i="10"/>
  <c r="M71" i="10"/>
  <c r="Q101" i="3"/>
  <c r="M101" i="3"/>
  <c r="P101" i="3"/>
  <c r="N101" i="3"/>
  <c r="A101" i="3"/>
  <c r="B101" i="3" s="1"/>
  <c r="C101" i="3" s="1"/>
  <c r="F99" i="3"/>
  <c r="L77" i="3"/>
  <c r="I77" i="3"/>
  <c r="M73" i="12" s="1"/>
  <c r="S74" i="3"/>
  <c r="T74" i="3" s="1"/>
  <c r="S75" i="3"/>
  <c r="T75" i="3" s="1"/>
  <c r="W73" i="3"/>
  <c r="F56" i="12" l="1"/>
  <c r="Q108" i="13"/>
  <c r="K108" i="13"/>
  <c r="O108" i="13"/>
  <c r="J108" i="13"/>
  <c r="B108" i="13"/>
  <c r="H108" i="13" s="1"/>
  <c r="C107" i="13"/>
  <c r="D107" i="13" s="1"/>
  <c r="N108" i="13"/>
  <c r="I108" i="13"/>
  <c r="F107" i="13"/>
  <c r="R108" i="13"/>
  <c r="M108" i="13"/>
  <c r="E107" i="13"/>
  <c r="G106" i="13"/>
  <c r="V106" i="13"/>
  <c r="W106" i="13" s="1"/>
  <c r="X106" i="13" s="1"/>
  <c r="T106" i="13"/>
  <c r="U106" i="13" s="1"/>
  <c r="S107" i="13"/>
  <c r="E37" i="10"/>
  <c r="C71" i="10"/>
  <c r="M72" i="10"/>
  <c r="E42" i="3"/>
  <c r="H42" i="3"/>
  <c r="Q102" i="3"/>
  <c r="P102" i="3"/>
  <c r="N102" i="3"/>
  <c r="M102" i="3"/>
  <c r="A102" i="3"/>
  <c r="B102" i="3" s="1"/>
  <c r="C102" i="3" s="1"/>
  <c r="F100" i="3"/>
  <c r="L78" i="3"/>
  <c r="I78" i="3"/>
  <c r="M74" i="12" s="1"/>
  <c r="U75" i="3"/>
  <c r="V75" i="3" s="1"/>
  <c r="W74" i="3"/>
  <c r="S108" i="13" l="1"/>
  <c r="E56" i="12"/>
  <c r="I60" i="13"/>
  <c r="F60" i="13"/>
  <c r="V107" i="13"/>
  <c r="W107" i="13" s="1"/>
  <c r="X107" i="13" s="1"/>
  <c r="T107" i="13"/>
  <c r="U107" i="13" s="1"/>
  <c r="N109" i="13"/>
  <c r="J109" i="13"/>
  <c r="B109" i="13"/>
  <c r="C108" i="13"/>
  <c r="D108" i="13" s="1"/>
  <c r="R109" i="13"/>
  <c r="M109" i="13"/>
  <c r="I109" i="13"/>
  <c r="F108" i="13"/>
  <c r="Q109" i="13"/>
  <c r="E108" i="13"/>
  <c r="O109" i="13"/>
  <c r="K109" i="13"/>
  <c r="L109" i="13"/>
  <c r="G107" i="13"/>
  <c r="D37" i="10"/>
  <c r="C72" i="10"/>
  <c r="M73" i="10"/>
  <c r="R42" i="3"/>
  <c r="Q103" i="3"/>
  <c r="P103" i="3"/>
  <c r="N103" i="3"/>
  <c r="M103" i="3"/>
  <c r="A103" i="3"/>
  <c r="B103" i="3" s="1"/>
  <c r="C103" i="3" s="1"/>
  <c r="F101" i="3"/>
  <c r="L79" i="3"/>
  <c r="I79" i="3"/>
  <c r="M75" i="12" s="1"/>
  <c r="W75" i="3"/>
  <c r="U76" i="3"/>
  <c r="V76" i="3" s="1"/>
  <c r="W76" i="3" s="1"/>
  <c r="S76" i="3"/>
  <c r="T76" i="3" s="1"/>
  <c r="L61" i="13" l="1"/>
  <c r="Z5" i="13" s="1"/>
  <c r="AA5" i="13" s="1"/>
  <c r="D56" i="12"/>
  <c r="S60" i="13"/>
  <c r="T108" i="13"/>
  <c r="U108" i="13" s="1"/>
  <c r="V108" i="13"/>
  <c r="W108" i="13" s="1"/>
  <c r="X108" i="13" s="1"/>
  <c r="S109" i="13"/>
  <c r="R110" i="13"/>
  <c r="M110" i="13"/>
  <c r="F109" i="13"/>
  <c r="Q110" i="13"/>
  <c r="K110" i="13"/>
  <c r="E109" i="13"/>
  <c r="O110" i="13"/>
  <c r="J110" i="13"/>
  <c r="B110" i="13"/>
  <c r="N110" i="13"/>
  <c r="I110" i="13"/>
  <c r="C109" i="13"/>
  <c r="D109" i="13" s="1"/>
  <c r="G108" i="13"/>
  <c r="H109" i="13"/>
  <c r="F38" i="10"/>
  <c r="C73" i="10"/>
  <c r="M74" i="10"/>
  <c r="Q104" i="3"/>
  <c r="P104" i="3"/>
  <c r="N104" i="3"/>
  <c r="M104" i="3"/>
  <c r="A104" i="3"/>
  <c r="B104" i="3" s="1"/>
  <c r="C104" i="3" s="1"/>
  <c r="F102" i="3"/>
  <c r="L80" i="3"/>
  <c r="I80" i="3"/>
  <c r="M76" i="12" s="1"/>
  <c r="U77" i="3"/>
  <c r="V77" i="3" s="1"/>
  <c r="W77" i="3" s="1"/>
  <c r="S77" i="3"/>
  <c r="T77" i="3" s="1"/>
  <c r="S78" i="3"/>
  <c r="T78" i="3" s="1"/>
  <c r="F57" i="12" l="1"/>
  <c r="V109" i="13"/>
  <c r="W109" i="13" s="1"/>
  <c r="X109" i="13" s="1"/>
  <c r="T109" i="13"/>
  <c r="U109" i="13" s="1"/>
  <c r="S110" i="13"/>
  <c r="Q111" i="13"/>
  <c r="K111" i="13"/>
  <c r="O111" i="13"/>
  <c r="J111" i="13"/>
  <c r="B111" i="13"/>
  <c r="C110" i="13"/>
  <c r="D110" i="13" s="1"/>
  <c r="N111" i="13"/>
  <c r="I111" i="13"/>
  <c r="F110" i="13"/>
  <c r="R111" i="13"/>
  <c r="M111" i="13"/>
  <c r="E110" i="13"/>
  <c r="G109" i="13"/>
  <c r="H110" i="13"/>
  <c r="E38" i="10"/>
  <c r="C74" i="10"/>
  <c r="M75" i="10"/>
  <c r="E43" i="3"/>
  <c r="H43" i="3"/>
  <c r="M105" i="3"/>
  <c r="N105" i="3"/>
  <c r="A105" i="3"/>
  <c r="B105" i="3" s="1"/>
  <c r="C105" i="3" s="1"/>
  <c r="F103" i="3"/>
  <c r="L81" i="3"/>
  <c r="I81" i="3"/>
  <c r="M77" i="12" s="1"/>
  <c r="U78" i="3"/>
  <c r="V78" i="3" s="1"/>
  <c r="E57" i="12" l="1"/>
  <c r="I61" i="13"/>
  <c r="F61" i="13"/>
  <c r="V110" i="13"/>
  <c r="W110" i="13" s="1"/>
  <c r="X110" i="13" s="1"/>
  <c r="T110" i="13"/>
  <c r="U110" i="13" s="1"/>
  <c r="S111" i="13"/>
  <c r="O112" i="13"/>
  <c r="J112" i="13"/>
  <c r="B112" i="13"/>
  <c r="H112" i="13" s="1"/>
  <c r="C111" i="13"/>
  <c r="D111" i="13" s="1"/>
  <c r="N112" i="13"/>
  <c r="I112" i="13"/>
  <c r="F111" i="13"/>
  <c r="R112" i="13"/>
  <c r="M112" i="13"/>
  <c r="E111" i="13"/>
  <c r="Q112" i="13"/>
  <c r="K112" i="13"/>
  <c r="G110" i="13"/>
  <c r="H111" i="13"/>
  <c r="C75" i="10"/>
  <c r="D38" i="10"/>
  <c r="M76" i="10"/>
  <c r="R43" i="3"/>
  <c r="Q106" i="3"/>
  <c r="P106" i="3"/>
  <c r="N106" i="3"/>
  <c r="M106" i="3"/>
  <c r="A106" i="3"/>
  <c r="B106" i="3" s="1"/>
  <c r="C106" i="3" s="1"/>
  <c r="L82" i="3"/>
  <c r="I82" i="3"/>
  <c r="M78" i="12" s="1"/>
  <c r="S79" i="3"/>
  <c r="T79" i="3" s="1"/>
  <c r="W78" i="3"/>
  <c r="U79" i="3"/>
  <c r="V79" i="3" s="1"/>
  <c r="W79" i="3" s="1"/>
  <c r="D57" i="12" l="1"/>
  <c r="S61" i="13"/>
  <c r="S112" i="13"/>
  <c r="T111" i="13"/>
  <c r="U111" i="13" s="1"/>
  <c r="V111" i="13"/>
  <c r="W111" i="13" s="1"/>
  <c r="X111" i="13" s="1"/>
  <c r="N113" i="13"/>
  <c r="I113" i="13"/>
  <c r="F112" i="13"/>
  <c r="R113" i="13"/>
  <c r="M113" i="13"/>
  <c r="E112" i="13"/>
  <c r="Q113" i="13"/>
  <c r="K113" i="13"/>
  <c r="O113" i="13"/>
  <c r="J113" i="13"/>
  <c r="B113" i="13"/>
  <c r="H113" i="13" s="1"/>
  <c r="C112" i="13"/>
  <c r="D112" i="13" s="1"/>
  <c r="G111" i="13"/>
  <c r="C76" i="10"/>
  <c r="F39" i="10"/>
  <c r="M77" i="10"/>
  <c r="P107" i="3"/>
  <c r="N107" i="3"/>
  <c r="Q107" i="3"/>
  <c r="M107" i="3"/>
  <c r="A107" i="3"/>
  <c r="B107" i="3" s="1"/>
  <c r="C107" i="3" s="1"/>
  <c r="L83" i="3"/>
  <c r="I83" i="3"/>
  <c r="M79" i="12" s="1"/>
  <c r="S80" i="3"/>
  <c r="T80" i="3" s="1"/>
  <c r="U80" i="3"/>
  <c r="V80" i="3" s="1"/>
  <c r="W80" i="3" s="1"/>
  <c r="F58" i="12" l="1"/>
  <c r="T112" i="13"/>
  <c r="U112" i="13" s="1"/>
  <c r="V112" i="13"/>
  <c r="W112" i="13" s="1"/>
  <c r="X112" i="13" s="1"/>
  <c r="S113" i="13"/>
  <c r="R114" i="13"/>
  <c r="M114" i="13"/>
  <c r="E113" i="13"/>
  <c r="Q114" i="13"/>
  <c r="K114" i="13"/>
  <c r="O114" i="13"/>
  <c r="J114" i="13"/>
  <c r="B114" i="13"/>
  <c r="H114" i="13" s="1"/>
  <c r="C113" i="13"/>
  <c r="D113" i="13" s="1"/>
  <c r="N114" i="13"/>
  <c r="I114" i="13"/>
  <c r="F113" i="13"/>
  <c r="G112" i="13"/>
  <c r="C77" i="10"/>
  <c r="E39" i="10"/>
  <c r="M78" i="10"/>
  <c r="E44" i="3"/>
  <c r="H44" i="3"/>
  <c r="Q108" i="3"/>
  <c r="P108" i="3"/>
  <c r="N108" i="3"/>
  <c r="M108" i="3"/>
  <c r="A108" i="3"/>
  <c r="F106" i="3"/>
  <c r="E106" i="3" s="1"/>
  <c r="L84" i="3"/>
  <c r="I84" i="3"/>
  <c r="M80" i="12" s="1"/>
  <c r="U81" i="3"/>
  <c r="V81" i="3" s="1"/>
  <c r="W81" i="3" s="1"/>
  <c r="S81" i="3"/>
  <c r="T81" i="3" s="1"/>
  <c r="S114" i="13" l="1"/>
  <c r="E58" i="12"/>
  <c r="I62" i="13"/>
  <c r="F62" i="13"/>
  <c r="V113" i="13"/>
  <c r="W113" i="13" s="1"/>
  <c r="X113" i="13" s="1"/>
  <c r="T113" i="13"/>
  <c r="U113" i="13" s="1"/>
  <c r="Q115" i="13"/>
  <c r="K115" i="13"/>
  <c r="O115" i="13"/>
  <c r="J115" i="13"/>
  <c r="B115" i="13"/>
  <c r="C114" i="13"/>
  <c r="D114" i="13" s="1"/>
  <c r="N115" i="13"/>
  <c r="I115" i="13"/>
  <c r="F114" i="13"/>
  <c r="R115" i="13"/>
  <c r="M115" i="13"/>
  <c r="E114" i="13"/>
  <c r="G113" i="13"/>
  <c r="C78" i="10"/>
  <c r="D39" i="10"/>
  <c r="M79" i="10"/>
  <c r="R44" i="3"/>
  <c r="J109" i="3"/>
  <c r="B108" i="3"/>
  <c r="C108" i="3" s="1"/>
  <c r="Q109" i="3"/>
  <c r="M109" i="3"/>
  <c r="P109" i="3"/>
  <c r="N109" i="3"/>
  <c r="A109" i="3"/>
  <c r="B109" i="3" s="1"/>
  <c r="C109" i="3" s="1"/>
  <c r="F107" i="3"/>
  <c r="E107" i="3" s="1"/>
  <c r="S82" i="3"/>
  <c r="T82" i="3" s="1"/>
  <c r="L85" i="3"/>
  <c r="U82" i="3"/>
  <c r="V82" i="3" s="1"/>
  <c r="S83" i="3"/>
  <c r="T83" i="3" s="1"/>
  <c r="D58" i="12" l="1"/>
  <c r="S62" i="13"/>
  <c r="V114" i="13"/>
  <c r="W114" i="13" s="1"/>
  <c r="X114" i="13" s="1"/>
  <c r="T114" i="13"/>
  <c r="U114" i="13" s="1"/>
  <c r="O116" i="13"/>
  <c r="J116" i="13"/>
  <c r="B116" i="13"/>
  <c r="C115" i="13"/>
  <c r="D115" i="13" s="1"/>
  <c r="N116" i="13"/>
  <c r="I116" i="13"/>
  <c r="F115" i="13"/>
  <c r="R116" i="13"/>
  <c r="M116" i="13"/>
  <c r="E115" i="13"/>
  <c r="Q116" i="13"/>
  <c r="K116" i="13"/>
  <c r="G114" i="13"/>
  <c r="H115" i="13"/>
  <c r="S115" i="13"/>
  <c r="C79" i="10"/>
  <c r="F40" i="10"/>
  <c r="Q110" i="3"/>
  <c r="P110" i="3"/>
  <c r="N110" i="3"/>
  <c r="M110" i="3"/>
  <c r="A110" i="3"/>
  <c r="B110" i="3" s="1"/>
  <c r="C110" i="3" s="1"/>
  <c r="F108" i="3"/>
  <c r="E108" i="3" s="1"/>
  <c r="U83" i="3"/>
  <c r="V83" i="3" s="1"/>
  <c r="J86" i="3"/>
  <c r="L86" i="3"/>
  <c r="I86" i="3"/>
  <c r="W82" i="3"/>
  <c r="D85" i="3"/>
  <c r="C80" i="10" s="1"/>
  <c r="F59" i="12" l="1"/>
  <c r="T115" i="13"/>
  <c r="U115" i="13" s="1"/>
  <c r="V115" i="13"/>
  <c r="W115" i="13" s="1"/>
  <c r="X115" i="13" s="1"/>
  <c r="N117" i="13"/>
  <c r="I117" i="13"/>
  <c r="F116" i="13"/>
  <c r="R117" i="13"/>
  <c r="M117" i="13"/>
  <c r="E116" i="13"/>
  <c r="Q117" i="13"/>
  <c r="K117" i="13"/>
  <c r="O117" i="13"/>
  <c r="J117" i="13"/>
  <c r="B117" i="13"/>
  <c r="H117" i="13" s="1"/>
  <c r="C116" i="13"/>
  <c r="D116" i="13" s="1"/>
  <c r="G115" i="13"/>
  <c r="H116" i="13"/>
  <c r="S116" i="13"/>
  <c r="E40" i="10"/>
  <c r="E45" i="3"/>
  <c r="H45" i="3"/>
  <c r="Q111" i="3"/>
  <c r="P111" i="3"/>
  <c r="N111" i="3"/>
  <c r="M111" i="3"/>
  <c r="A111" i="3"/>
  <c r="B111" i="3" s="1"/>
  <c r="C111" i="3" s="1"/>
  <c r="F109" i="3"/>
  <c r="E109" i="3" s="1"/>
  <c r="L87" i="3"/>
  <c r="I87" i="3"/>
  <c r="J87" i="3"/>
  <c r="S84" i="3"/>
  <c r="T84" i="3" s="1"/>
  <c r="U84" i="3"/>
  <c r="V84" i="3" s="1"/>
  <c r="U85" i="3"/>
  <c r="V85" i="3" s="1"/>
  <c r="W83" i="3"/>
  <c r="D86" i="3"/>
  <c r="I63" i="13" l="1"/>
  <c r="E59" i="12"/>
  <c r="F63" i="13"/>
  <c r="T116" i="13"/>
  <c r="U116" i="13" s="1"/>
  <c r="V116" i="13"/>
  <c r="W116" i="13" s="1"/>
  <c r="X116" i="13" s="1"/>
  <c r="S117" i="13"/>
  <c r="R118" i="13"/>
  <c r="M118" i="13"/>
  <c r="E117" i="13"/>
  <c r="Q118" i="13"/>
  <c r="K118" i="13"/>
  <c r="O118" i="13"/>
  <c r="J118" i="13"/>
  <c r="B118" i="13"/>
  <c r="C117" i="13"/>
  <c r="D117" i="13" s="1"/>
  <c r="N118" i="13"/>
  <c r="I118" i="13"/>
  <c r="F117" i="13"/>
  <c r="G116" i="13"/>
  <c r="D40" i="10"/>
  <c r="R45" i="3"/>
  <c r="Q112" i="3"/>
  <c r="P112" i="3"/>
  <c r="N112" i="3"/>
  <c r="M112" i="3"/>
  <c r="A112" i="3"/>
  <c r="B112" i="3" s="1"/>
  <c r="C112" i="3" s="1"/>
  <c r="F110" i="3"/>
  <c r="E110" i="3" s="1"/>
  <c r="J88" i="3"/>
  <c r="L88" i="3"/>
  <c r="I88" i="3"/>
  <c r="S85" i="3"/>
  <c r="T85" i="3" s="1"/>
  <c r="W84" i="3"/>
  <c r="D87" i="3"/>
  <c r="D59" i="12" l="1"/>
  <c r="S63" i="13"/>
  <c r="Q119" i="13"/>
  <c r="K119" i="13"/>
  <c r="O119" i="13"/>
  <c r="J119" i="13"/>
  <c r="B119" i="13"/>
  <c r="H119" i="13" s="1"/>
  <c r="C118" i="13"/>
  <c r="D118" i="13" s="1"/>
  <c r="N119" i="13"/>
  <c r="I119" i="13"/>
  <c r="F118" i="13"/>
  <c r="R119" i="13"/>
  <c r="M119" i="13"/>
  <c r="E118" i="13"/>
  <c r="G117" i="13"/>
  <c r="S118" i="13"/>
  <c r="V117" i="13"/>
  <c r="W117" i="13" s="1"/>
  <c r="X117" i="13" s="1"/>
  <c r="T117" i="13"/>
  <c r="U117" i="13" s="1"/>
  <c r="H118" i="13"/>
  <c r="F41" i="10"/>
  <c r="Q113" i="3"/>
  <c r="P113" i="3"/>
  <c r="M113" i="3"/>
  <c r="N113" i="3"/>
  <c r="A113" i="3"/>
  <c r="B113" i="3" s="1"/>
  <c r="C113" i="3" s="1"/>
  <c r="F111" i="3"/>
  <c r="E111" i="3" s="1"/>
  <c r="L89" i="3"/>
  <c r="I89" i="3"/>
  <c r="J89" i="3"/>
  <c r="U86" i="3"/>
  <c r="V86" i="3" s="1"/>
  <c r="S86" i="3"/>
  <c r="T86" i="3" s="1"/>
  <c r="W85" i="3"/>
  <c r="D88" i="3"/>
  <c r="F60" i="12" l="1"/>
  <c r="V118" i="13"/>
  <c r="W118" i="13" s="1"/>
  <c r="X118" i="13" s="1"/>
  <c r="T118" i="13"/>
  <c r="U118" i="13" s="1"/>
  <c r="O120" i="13"/>
  <c r="J120" i="13"/>
  <c r="B120" i="13"/>
  <c r="H120" i="13" s="1"/>
  <c r="C119" i="13"/>
  <c r="D119" i="13" s="1"/>
  <c r="N120" i="13"/>
  <c r="I120" i="13"/>
  <c r="F119" i="13"/>
  <c r="R120" i="13"/>
  <c r="M120" i="13"/>
  <c r="E119" i="13"/>
  <c r="Q120" i="13"/>
  <c r="K120" i="13"/>
  <c r="G118" i="13"/>
  <c r="S119" i="13"/>
  <c r="E41" i="10"/>
  <c r="E46" i="3"/>
  <c r="H46" i="3"/>
  <c r="Q114" i="3"/>
  <c r="P114" i="3"/>
  <c r="N114" i="3"/>
  <c r="M114" i="3"/>
  <c r="A114" i="3"/>
  <c r="B114" i="3" s="1"/>
  <c r="C114" i="3" s="1"/>
  <c r="F112" i="3"/>
  <c r="E112" i="3" s="1"/>
  <c r="J90" i="3"/>
  <c r="L90" i="3"/>
  <c r="I90" i="3"/>
  <c r="U87" i="3"/>
  <c r="V87" i="3" s="1"/>
  <c r="W87" i="3" s="1"/>
  <c r="W86" i="3"/>
  <c r="S87" i="3"/>
  <c r="T87" i="3" s="1"/>
  <c r="D89" i="3"/>
  <c r="I64" i="13" l="1"/>
  <c r="E60" i="12"/>
  <c r="F64" i="13"/>
  <c r="R121" i="13"/>
  <c r="M121" i="13"/>
  <c r="I121" i="13"/>
  <c r="F120" i="13"/>
  <c r="Q121" i="13"/>
  <c r="E120" i="13"/>
  <c r="O121" i="13"/>
  <c r="N121" i="13"/>
  <c r="J121" i="13"/>
  <c r="B121" i="13"/>
  <c r="H121" i="13" s="1"/>
  <c r="C120" i="13"/>
  <c r="D120" i="13" s="1"/>
  <c r="L121" i="13"/>
  <c r="K121" i="13"/>
  <c r="G119" i="13"/>
  <c r="T119" i="13"/>
  <c r="U119" i="13" s="1"/>
  <c r="V119" i="13"/>
  <c r="W119" i="13" s="1"/>
  <c r="X119" i="13" s="1"/>
  <c r="S120" i="13"/>
  <c r="D41" i="10"/>
  <c r="R46" i="3"/>
  <c r="P115" i="3"/>
  <c r="Q115" i="3"/>
  <c r="N115" i="3"/>
  <c r="M115" i="3"/>
  <c r="A115" i="3"/>
  <c r="B115" i="3" s="1"/>
  <c r="C115" i="3" s="1"/>
  <c r="F113" i="3"/>
  <c r="E113" i="3" s="1"/>
  <c r="L91" i="3"/>
  <c r="I91" i="3"/>
  <c r="J91" i="3"/>
  <c r="U88" i="3"/>
  <c r="V88" i="3" s="1"/>
  <c r="W88" i="3" s="1"/>
  <c r="S88" i="3"/>
  <c r="T88" i="3" s="1"/>
  <c r="D90" i="3"/>
  <c r="S64" i="13" l="1"/>
  <c r="D60" i="12"/>
  <c r="Q122" i="13"/>
  <c r="K122" i="13"/>
  <c r="E121" i="13"/>
  <c r="O122" i="13"/>
  <c r="J122" i="13"/>
  <c r="B122" i="13"/>
  <c r="H122" i="13" s="1"/>
  <c r="N122" i="13"/>
  <c r="I122" i="13"/>
  <c r="C121" i="13"/>
  <c r="D121" i="13" s="1"/>
  <c r="R122" i="13"/>
  <c r="M122" i="13"/>
  <c r="F121" i="13"/>
  <c r="G120" i="13"/>
  <c r="T120" i="13"/>
  <c r="U120" i="13" s="1"/>
  <c r="V120" i="13"/>
  <c r="W120" i="13" s="1"/>
  <c r="X120" i="13" s="1"/>
  <c r="S121" i="13"/>
  <c r="F42" i="10"/>
  <c r="Q116" i="3"/>
  <c r="P116" i="3"/>
  <c r="N116" i="3"/>
  <c r="M116" i="3"/>
  <c r="A116" i="3"/>
  <c r="B116" i="3" s="1"/>
  <c r="C116" i="3" s="1"/>
  <c r="F114" i="3"/>
  <c r="E114" i="3" s="1"/>
  <c r="J92" i="3"/>
  <c r="L92" i="3"/>
  <c r="I92" i="3"/>
  <c r="S89" i="3"/>
  <c r="T89" i="3" s="1"/>
  <c r="U89" i="3"/>
  <c r="V89" i="3" s="1"/>
  <c r="W89" i="3" s="1"/>
  <c r="D91" i="3"/>
  <c r="S122" i="13" l="1"/>
  <c r="F61" i="12"/>
  <c r="O123" i="13"/>
  <c r="J123" i="13"/>
  <c r="B123" i="13"/>
  <c r="H123" i="13" s="1"/>
  <c r="C122" i="13"/>
  <c r="D122" i="13" s="1"/>
  <c r="N123" i="13"/>
  <c r="I123" i="13"/>
  <c r="F122" i="13"/>
  <c r="R123" i="13"/>
  <c r="M123" i="13"/>
  <c r="E122" i="13"/>
  <c r="Q123" i="13"/>
  <c r="K123" i="13"/>
  <c r="G121" i="13"/>
  <c r="V121" i="13"/>
  <c r="W121" i="13" s="1"/>
  <c r="X121" i="13" s="1"/>
  <c r="T121" i="13"/>
  <c r="U121" i="13" s="1"/>
  <c r="E42" i="10"/>
  <c r="E47" i="3"/>
  <c r="H47" i="3"/>
  <c r="Q117" i="3"/>
  <c r="M117" i="3"/>
  <c r="P117" i="3"/>
  <c r="N117" i="3"/>
  <c r="A117" i="3"/>
  <c r="B117" i="3" s="1"/>
  <c r="C117" i="3" s="1"/>
  <c r="F115" i="3"/>
  <c r="E115" i="3" s="1"/>
  <c r="L93" i="3"/>
  <c r="I93" i="3"/>
  <c r="J93" i="3"/>
  <c r="S90" i="3"/>
  <c r="T90" i="3" s="1"/>
  <c r="U90" i="3"/>
  <c r="V90" i="3" s="1"/>
  <c r="W90" i="3" s="1"/>
  <c r="S91" i="3"/>
  <c r="D92" i="3"/>
  <c r="S123" i="13" l="1"/>
  <c r="I65" i="13"/>
  <c r="E61" i="12"/>
  <c r="F65" i="13"/>
  <c r="T122" i="13"/>
  <c r="U122" i="13" s="1"/>
  <c r="V122" i="13"/>
  <c r="W122" i="13" s="1"/>
  <c r="X122" i="13" s="1"/>
  <c r="N124" i="13"/>
  <c r="I124" i="13"/>
  <c r="F123" i="13"/>
  <c r="R124" i="13"/>
  <c r="M124" i="13"/>
  <c r="E123" i="13"/>
  <c r="Q124" i="13"/>
  <c r="K124" i="13"/>
  <c r="O124" i="13"/>
  <c r="J124" i="13"/>
  <c r="B124" i="13"/>
  <c r="C123" i="13"/>
  <c r="D123" i="13" s="1"/>
  <c r="G122" i="13"/>
  <c r="D42" i="10"/>
  <c r="R47" i="3"/>
  <c r="Q118" i="3"/>
  <c r="P118" i="3"/>
  <c r="N118" i="3"/>
  <c r="M118" i="3"/>
  <c r="A118" i="3"/>
  <c r="B118" i="3" s="1"/>
  <c r="C118" i="3" s="1"/>
  <c r="F116" i="3"/>
  <c r="E116" i="3" s="1"/>
  <c r="J94" i="3"/>
  <c r="L94" i="3"/>
  <c r="I94" i="3"/>
  <c r="U91" i="3"/>
  <c r="V91" i="3" s="1"/>
  <c r="S92" i="3"/>
  <c r="T92" i="3" s="1"/>
  <c r="D93" i="3"/>
  <c r="T91" i="3"/>
  <c r="S65" i="13" l="1"/>
  <c r="D61" i="12"/>
  <c r="R125" i="13"/>
  <c r="M125" i="13"/>
  <c r="E124" i="13"/>
  <c r="Q125" i="13"/>
  <c r="K125" i="13"/>
  <c r="O125" i="13"/>
  <c r="J125" i="13"/>
  <c r="B125" i="13"/>
  <c r="H125" i="13" s="1"/>
  <c r="C124" i="13"/>
  <c r="D124" i="13" s="1"/>
  <c r="N125" i="13"/>
  <c r="I125" i="13"/>
  <c r="F124" i="13"/>
  <c r="G123" i="13"/>
  <c r="T123" i="13"/>
  <c r="U123" i="13" s="1"/>
  <c r="V123" i="13"/>
  <c r="W123" i="13" s="1"/>
  <c r="X123" i="13" s="1"/>
  <c r="H124" i="13"/>
  <c r="S124" i="13"/>
  <c r="F43" i="10"/>
  <c r="Q119" i="3"/>
  <c r="P119" i="3"/>
  <c r="N119" i="3"/>
  <c r="M119" i="3"/>
  <c r="A119" i="3"/>
  <c r="B119" i="3" s="1"/>
  <c r="C119" i="3" s="1"/>
  <c r="F117" i="3"/>
  <c r="E117" i="3" s="1"/>
  <c r="L95" i="3"/>
  <c r="I95" i="3"/>
  <c r="J95" i="3"/>
  <c r="U92" i="3"/>
  <c r="V92" i="3" s="1"/>
  <c r="W91" i="3"/>
  <c r="D94" i="3"/>
  <c r="F62" i="12" l="1"/>
  <c r="V124" i="13"/>
  <c r="W124" i="13" s="1"/>
  <c r="X124" i="13" s="1"/>
  <c r="T124" i="13"/>
  <c r="U124" i="13" s="1"/>
  <c r="Q126" i="13"/>
  <c r="K126" i="13"/>
  <c r="O126" i="13"/>
  <c r="J126" i="13"/>
  <c r="B126" i="13"/>
  <c r="H126" i="13" s="1"/>
  <c r="C125" i="13"/>
  <c r="D125" i="13" s="1"/>
  <c r="N126" i="13"/>
  <c r="I126" i="13"/>
  <c r="F125" i="13"/>
  <c r="R126" i="13"/>
  <c r="M126" i="13"/>
  <c r="E125" i="13"/>
  <c r="G124" i="13"/>
  <c r="S125" i="13"/>
  <c r="E43" i="10"/>
  <c r="E48" i="3"/>
  <c r="H48" i="3"/>
  <c r="Q120" i="3"/>
  <c r="P120" i="3"/>
  <c r="N120" i="3"/>
  <c r="M120" i="3"/>
  <c r="A120" i="3"/>
  <c r="F118" i="3"/>
  <c r="E118" i="3" s="1"/>
  <c r="J96" i="3"/>
  <c r="L96" i="3"/>
  <c r="I96" i="3"/>
  <c r="W92" i="3"/>
  <c r="U93" i="3"/>
  <c r="V93" i="3" s="1"/>
  <c r="W93" i="3" s="1"/>
  <c r="U94" i="3"/>
  <c r="V94" i="3" s="1"/>
  <c r="S93" i="3"/>
  <c r="T93" i="3" s="1"/>
  <c r="D95" i="3"/>
  <c r="S126" i="13" l="1"/>
  <c r="I66" i="13"/>
  <c r="E62" i="12"/>
  <c r="F66" i="13"/>
  <c r="V125" i="13"/>
  <c r="W125" i="13" s="1"/>
  <c r="X125" i="13" s="1"/>
  <c r="T125" i="13"/>
  <c r="U125" i="13" s="1"/>
  <c r="O127" i="13"/>
  <c r="J127" i="13"/>
  <c r="B127" i="13"/>
  <c r="H127" i="13" s="1"/>
  <c r="C126" i="13"/>
  <c r="D126" i="13" s="1"/>
  <c r="N127" i="13"/>
  <c r="I127" i="13"/>
  <c r="F126" i="13"/>
  <c r="R127" i="13"/>
  <c r="M127" i="13"/>
  <c r="E126" i="13"/>
  <c r="Q127" i="13"/>
  <c r="K127" i="13"/>
  <c r="G125" i="13"/>
  <c r="D43" i="10"/>
  <c r="K49" i="3"/>
  <c r="R48" i="3"/>
  <c r="J121" i="3"/>
  <c r="B120" i="3"/>
  <c r="C120" i="3" s="1"/>
  <c r="J97" i="3"/>
  <c r="Q121" i="3"/>
  <c r="P121" i="3"/>
  <c r="M121" i="3"/>
  <c r="N121" i="3"/>
  <c r="A121" i="3"/>
  <c r="B121" i="3" s="1"/>
  <c r="C121" i="3" s="1"/>
  <c r="F119" i="3"/>
  <c r="E119" i="3" s="1"/>
  <c r="S94" i="3"/>
  <c r="T94" i="3" s="1"/>
  <c r="L97" i="3"/>
  <c r="I97" i="3"/>
  <c r="D96" i="3"/>
  <c r="S66" i="13" l="1"/>
  <c r="D62" i="12"/>
  <c r="N128" i="13"/>
  <c r="I128" i="13"/>
  <c r="F127" i="13"/>
  <c r="R128" i="13"/>
  <c r="M128" i="13"/>
  <c r="E127" i="13"/>
  <c r="Q128" i="13"/>
  <c r="K128" i="13"/>
  <c r="O128" i="13"/>
  <c r="J128" i="13"/>
  <c r="B128" i="13"/>
  <c r="H128" i="13" s="1"/>
  <c r="C127" i="13"/>
  <c r="D127" i="13" s="1"/>
  <c r="G126" i="13"/>
  <c r="T126" i="13"/>
  <c r="U126" i="13" s="1"/>
  <c r="V126" i="13"/>
  <c r="W126" i="13" s="1"/>
  <c r="X126" i="13" s="1"/>
  <c r="S127" i="13"/>
  <c r="O44" i="10"/>
  <c r="O45" i="12"/>
  <c r="F44" i="10"/>
  <c r="Y4" i="3"/>
  <c r="Z4" i="3" s="1"/>
  <c r="Q122" i="3"/>
  <c r="P122" i="3"/>
  <c r="N122" i="3"/>
  <c r="M122" i="3"/>
  <c r="A122" i="3"/>
  <c r="B122" i="3" s="1"/>
  <c r="C122" i="3" s="1"/>
  <c r="F120" i="3"/>
  <c r="E120" i="3" s="1"/>
  <c r="J98" i="3"/>
  <c r="L98" i="3"/>
  <c r="I98" i="3"/>
  <c r="W94" i="3"/>
  <c r="U95" i="3"/>
  <c r="V95" i="3" s="1"/>
  <c r="W95" i="3" s="1"/>
  <c r="U96" i="3"/>
  <c r="V96" i="3" s="1"/>
  <c r="S95" i="3"/>
  <c r="T95" i="3" s="1"/>
  <c r="D97" i="3"/>
  <c r="F63" i="12" l="1"/>
  <c r="T127" i="13"/>
  <c r="U127" i="13" s="1"/>
  <c r="V127" i="13"/>
  <c r="W127" i="13" s="1"/>
  <c r="X127" i="13" s="1"/>
  <c r="S128" i="13"/>
  <c r="R129" i="13"/>
  <c r="M129" i="13"/>
  <c r="E128" i="13"/>
  <c r="Q129" i="13"/>
  <c r="K129" i="13"/>
  <c r="O129" i="13"/>
  <c r="J129" i="13"/>
  <c r="B129" i="13"/>
  <c r="H129" i="13" s="1"/>
  <c r="C128" i="13"/>
  <c r="D128" i="13" s="1"/>
  <c r="N129" i="13"/>
  <c r="I129" i="13"/>
  <c r="F128" i="13"/>
  <c r="G127" i="13"/>
  <c r="E44" i="10"/>
  <c r="E49" i="3"/>
  <c r="P123" i="3"/>
  <c r="N123" i="3"/>
  <c r="Q123" i="3"/>
  <c r="M123" i="3"/>
  <c r="A123" i="3"/>
  <c r="B123" i="3" s="1"/>
  <c r="C123" i="3" s="1"/>
  <c r="F121" i="3"/>
  <c r="E121" i="3" s="1"/>
  <c r="L99" i="3"/>
  <c r="I99" i="3"/>
  <c r="J99" i="3"/>
  <c r="S96" i="3"/>
  <c r="T96" i="3" s="1"/>
  <c r="D98" i="3"/>
  <c r="I67" i="13" l="1"/>
  <c r="E63" i="12"/>
  <c r="F67" i="13"/>
  <c r="V128" i="13"/>
  <c r="W128" i="13" s="1"/>
  <c r="X128" i="13" s="1"/>
  <c r="T128" i="13"/>
  <c r="U128" i="13" s="1"/>
  <c r="Q130" i="13"/>
  <c r="K130" i="13"/>
  <c r="O130" i="13"/>
  <c r="J130" i="13"/>
  <c r="B130" i="13"/>
  <c r="C129" i="13"/>
  <c r="D129" i="13" s="1"/>
  <c r="N130" i="13"/>
  <c r="I130" i="13"/>
  <c r="F129" i="13"/>
  <c r="R130" i="13"/>
  <c r="M130" i="13"/>
  <c r="H130" i="13"/>
  <c r="E129" i="13"/>
  <c r="G128" i="13"/>
  <c r="S129" i="13"/>
  <c r="Q124" i="3"/>
  <c r="P124" i="3"/>
  <c r="N124" i="3"/>
  <c r="M124" i="3"/>
  <c r="A124" i="3"/>
  <c r="B124" i="3" s="1"/>
  <c r="C124" i="3" s="1"/>
  <c r="F122" i="3"/>
  <c r="E122" i="3" s="1"/>
  <c r="J100" i="3"/>
  <c r="L100" i="3"/>
  <c r="I100" i="3"/>
  <c r="U97" i="3"/>
  <c r="V97" i="3" s="1"/>
  <c r="W97" i="3" s="1"/>
  <c r="U98" i="3"/>
  <c r="V98" i="3" s="1"/>
  <c r="S97" i="3"/>
  <c r="T97" i="3" s="1"/>
  <c r="W96" i="3"/>
  <c r="D99" i="3"/>
  <c r="S130" i="13" l="1"/>
  <c r="S67" i="13"/>
  <c r="D63" i="12"/>
  <c r="V129" i="13"/>
  <c r="W129" i="13" s="1"/>
  <c r="X129" i="13" s="1"/>
  <c r="T129" i="13"/>
  <c r="U129" i="13" s="1"/>
  <c r="O131" i="13"/>
  <c r="J131" i="13"/>
  <c r="B131" i="13"/>
  <c r="C130" i="13"/>
  <c r="D130" i="13" s="1"/>
  <c r="N131" i="13"/>
  <c r="I131" i="13"/>
  <c r="F130" i="13"/>
  <c r="R131" i="13"/>
  <c r="M131" i="13"/>
  <c r="E130" i="13"/>
  <c r="Q131" i="13"/>
  <c r="K131" i="13"/>
  <c r="G129" i="13"/>
  <c r="F45" i="10"/>
  <c r="Q97" i="3"/>
  <c r="Q125" i="3"/>
  <c r="M125" i="3"/>
  <c r="P125" i="3"/>
  <c r="N125" i="3"/>
  <c r="A125" i="3"/>
  <c r="B125" i="3" s="1"/>
  <c r="C125" i="3" s="1"/>
  <c r="F123" i="3"/>
  <c r="E123" i="3" s="1"/>
  <c r="L101" i="3"/>
  <c r="I101" i="3"/>
  <c r="J101" i="3"/>
  <c r="S98" i="3"/>
  <c r="T98" i="3" s="1"/>
  <c r="U99" i="3"/>
  <c r="V99" i="3" s="1"/>
  <c r="D100" i="3"/>
  <c r="F64" i="12" l="1"/>
  <c r="N132" i="13"/>
  <c r="I132" i="13"/>
  <c r="F131" i="13"/>
  <c r="R132" i="13"/>
  <c r="M132" i="13"/>
  <c r="E131" i="13"/>
  <c r="Q132" i="13"/>
  <c r="K132" i="13"/>
  <c r="O132" i="13"/>
  <c r="J132" i="13"/>
  <c r="B132" i="13"/>
  <c r="H132" i="13" s="1"/>
  <c r="C131" i="13"/>
  <c r="D131" i="13" s="1"/>
  <c r="G130" i="13"/>
  <c r="T130" i="13"/>
  <c r="U130" i="13" s="1"/>
  <c r="V130" i="13"/>
  <c r="W130" i="13" s="1"/>
  <c r="X130" i="13" s="1"/>
  <c r="H131" i="13"/>
  <c r="S131" i="13"/>
  <c r="E45" i="10"/>
  <c r="H50" i="3"/>
  <c r="E50" i="3"/>
  <c r="Q126" i="3"/>
  <c r="P126" i="3"/>
  <c r="N126" i="3"/>
  <c r="M126" i="3"/>
  <c r="A126" i="3"/>
  <c r="B126" i="3" s="1"/>
  <c r="C126" i="3" s="1"/>
  <c r="F124" i="3"/>
  <c r="E124" i="3" s="1"/>
  <c r="J102" i="3"/>
  <c r="L102" i="3"/>
  <c r="I102" i="3"/>
  <c r="S99" i="3"/>
  <c r="T99" i="3" s="1"/>
  <c r="W98" i="3"/>
  <c r="D101" i="3"/>
  <c r="S132" i="13" l="1"/>
  <c r="I68" i="13"/>
  <c r="E64" i="12"/>
  <c r="F68" i="13"/>
  <c r="T131" i="13"/>
  <c r="U131" i="13" s="1"/>
  <c r="V131" i="13"/>
  <c r="W131" i="13" s="1"/>
  <c r="X131" i="13" s="1"/>
  <c r="Q133" i="13"/>
  <c r="E132" i="13"/>
  <c r="O133" i="13"/>
  <c r="N133" i="13"/>
  <c r="J133" i="13"/>
  <c r="B133" i="13"/>
  <c r="H133" i="13" s="1"/>
  <c r="C132" i="13"/>
  <c r="D132" i="13" s="1"/>
  <c r="R133" i="13"/>
  <c r="M133" i="13"/>
  <c r="I133" i="13"/>
  <c r="F132" i="13"/>
  <c r="K133" i="13"/>
  <c r="L133" i="13"/>
  <c r="G131" i="13"/>
  <c r="D45" i="10"/>
  <c r="R50" i="3"/>
  <c r="Q127" i="3"/>
  <c r="P127" i="3"/>
  <c r="N127" i="3"/>
  <c r="M127" i="3"/>
  <c r="A127" i="3"/>
  <c r="B127" i="3" s="1"/>
  <c r="C127" i="3" s="1"/>
  <c r="F125" i="3"/>
  <c r="E125" i="3" s="1"/>
  <c r="L103" i="3"/>
  <c r="I103" i="3"/>
  <c r="J103" i="3"/>
  <c r="W99" i="3"/>
  <c r="U100" i="3"/>
  <c r="V100" i="3" s="1"/>
  <c r="W100" i="3" s="1"/>
  <c r="S100" i="3"/>
  <c r="T100" i="3" s="1"/>
  <c r="S101" i="3"/>
  <c r="T101" i="3" s="1"/>
  <c r="D102" i="3"/>
  <c r="D64" i="12" l="1"/>
  <c r="S68" i="13"/>
  <c r="V132" i="13"/>
  <c r="W132" i="13" s="1"/>
  <c r="X132" i="13" s="1"/>
  <c r="T132" i="13"/>
  <c r="U132" i="13" s="1"/>
  <c r="S133" i="13"/>
  <c r="O134" i="13"/>
  <c r="J134" i="13"/>
  <c r="B134" i="13"/>
  <c r="N134" i="13"/>
  <c r="I134" i="13"/>
  <c r="C133" i="13"/>
  <c r="D133" i="13" s="1"/>
  <c r="R134" i="13"/>
  <c r="M134" i="13"/>
  <c r="F133" i="13"/>
  <c r="Q134" i="13"/>
  <c r="K134" i="13"/>
  <c r="E133" i="13"/>
  <c r="G132" i="13"/>
  <c r="F46" i="10"/>
  <c r="Q128" i="3"/>
  <c r="P128" i="3"/>
  <c r="N128" i="3"/>
  <c r="M128" i="3"/>
  <c r="A128" i="3"/>
  <c r="B128" i="3" s="1"/>
  <c r="C128" i="3" s="1"/>
  <c r="F126" i="3"/>
  <c r="E126" i="3" s="1"/>
  <c r="J104" i="3"/>
  <c r="L104" i="3"/>
  <c r="I104" i="3"/>
  <c r="U101" i="3"/>
  <c r="V101" i="3" s="1"/>
  <c r="D103" i="3"/>
  <c r="F65" i="12" l="1"/>
  <c r="N135" i="13"/>
  <c r="I135" i="13"/>
  <c r="F134" i="13"/>
  <c r="R135" i="13"/>
  <c r="M135" i="13"/>
  <c r="E134" i="13"/>
  <c r="Q135" i="13"/>
  <c r="K135" i="13"/>
  <c r="O135" i="13"/>
  <c r="J135" i="13"/>
  <c r="B135" i="13"/>
  <c r="H135" i="13" s="1"/>
  <c r="C134" i="13"/>
  <c r="D134" i="13" s="1"/>
  <c r="G133" i="13"/>
  <c r="T133" i="13"/>
  <c r="U133" i="13" s="1"/>
  <c r="V133" i="13"/>
  <c r="W133" i="13" s="1"/>
  <c r="X133" i="13" s="1"/>
  <c r="H134" i="13"/>
  <c r="S134" i="13"/>
  <c r="E46" i="10"/>
  <c r="E51" i="3"/>
  <c r="H51" i="3"/>
  <c r="Q129" i="3"/>
  <c r="P129" i="3"/>
  <c r="M129" i="3"/>
  <c r="N129" i="3"/>
  <c r="A129" i="3"/>
  <c r="B129" i="3" s="1"/>
  <c r="C129" i="3" s="1"/>
  <c r="F127" i="3"/>
  <c r="E127" i="3" s="1"/>
  <c r="L105" i="3"/>
  <c r="I105" i="3"/>
  <c r="J105" i="3"/>
  <c r="W101" i="3"/>
  <c r="S102" i="3"/>
  <c r="T102" i="3" s="1"/>
  <c r="U102" i="3"/>
  <c r="V102" i="3" s="1"/>
  <c r="W102" i="3" s="1"/>
  <c r="U103" i="3"/>
  <c r="V103" i="3" s="1"/>
  <c r="D104" i="3"/>
  <c r="I69" i="13" l="1"/>
  <c r="E65" i="12"/>
  <c r="F69" i="13"/>
  <c r="T134" i="13"/>
  <c r="U134" i="13" s="1"/>
  <c r="V134" i="13"/>
  <c r="W134" i="13" s="1"/>
  <c r="X134" i="13" s="1"/>
  <c r="S135" i="13"/>
  <c r="R136" i="13"/>
  <c r="M136" i="13"/>
  <c r="E135" i="13"/>
  <c r="Q136" i="13"/>
  <c r="K136" i="13"/>
  <c r="O136" i="13"/>
  <c r="J136" i="13"/>
  <c r="B136" i="13"/>
  <c r="H136" i="13" s="1"/>
  <c r="C135" i="13"/>
  <c r="D135" i="13" s="1"/>
  <c r="N136" i="13"/>
  <c r="I136" i="13"/>
  <c r="F135" i="13"/>
  <c r="G134" i="13"/>
  <c r="D46" i="10"/>
  <c r="R51" i="3"/>
  <c r="Q130" i="3"/>
  <c r="P130" i="3"/>
  <c r="N130" i="3"/>
  <c r="M130" i="3"/>
  <c r="A130" i="3"/>
  <c r="B130" i="3" s="1"/>
  <c r="C130" i="3" s="1"/>
  <c r="F128" i="3"/>
  <c r="E128" i="3" s="1"/>
  <c r="J106" i="3"/>
  <c r="L106" i="3"/>
  <c r="I106" i="3"/>
  <c r="S103" i="3"/>
  <c r="T103" i="3" s="1"/>
  <c r="D105" i="3"/>
  <c r="S69" i="13" l="1"/>
  <c r="D65" i="12"/>
  <c r="V135" i="13"/>
  <c r="W135" i="13" s="1"/>
  <c r="X135" i="13" s="1"/>
  <c r="T135" i="13"/>
  <c r="U135" i="13" s="1"/>
  <c r="O137" i="13"/>
  <c r="N137" i="13"/>
  <c r="R137" i="13"/>
  <c r="M137" i="13"/>
  <c r="Q137" i="13"/>
  <c r="K137" i="13"/>
  <c r="J137" i="13"/>
  <c r="B137" i="13"/>
  <c r="H137" i="13" s="1"/>
  <c r="C136" i="13"/>
  <c r="D136" i="13" s="1"/>
  <c r="I137" i="13"/>
  <c r="F136" i="13"/>
  <c r="E136" i="13"/>
  <c r="G135" i="13"/>
  <c r="S136" i="13"/>
  <c r="F47" i="10"/>
  <c r="P131" i="3"/>
  <c r="Q131" i="3"/>
  <c r="N131" i="3"/>
  <c r="M131" i="3"/>
  <c r="A131" i="3"/>
  <c r="B131" i="3" s="1"/>
  <c r="C131" i="3" s="1"/>
  <c r="F129" i="3"/>
  <c r="E129" i="3" s="1"/>
  <c r="L107" i="3"/>
  <c r="I107" i="3"/>
  <c r="J107" i="3"/>
  <c r="S104" i="3"/>
  <c r="T104" i="3" s="1"/>
  <c r="W103" i="3"/>
  <c r="U104" i="3"/>
  <c r="V104" i="3" s="1"/>
  <c r="W104" i="3" s="1"/>
  <c r="D106" i="3"/>
  <c r="F66" i="12" l="1"/>
  <c r="V136" i="13"/>
  <c r="W136" i="13" s="1"/>
  <c r="X136" i="13" s="1"/>
  <c r="T136" i="13"/>
  <c r="U136" i="13" s="1"/>
  <c r="N138" i="13"/>
  <c r="I138" i="13"/>
  <c r="R138" i="13"/>
  <c r="M138" i="13"/>
  <c r="Q138" i="13"/>
  <c r="K138" i="13"/>
  <c r="O138" i="13"/>
  <c r="J138" i="13"/>
  <c r="B138" i="13"/>
  <c r="C137" i="13"/>
  <c r="D137" i="13" s="1"/>
  <c r="F137" i="13"/>
  <c r="E137" i="13"/>
  <c r="G136" i="13"/>
  <c r="S137" i="13"/>
  <c r="E47" i="10"/>
  <c r="H52" i="3"/>
  <c r="E52" i="3"/>
  <c r="Q132" i="3"/>
  <c r="P132" i="3"/>
  <c r="N132" i="3"/>
  <c r="M132" i="3"/>
  <c r="A132" i="3"/>
  <c r="F130" i="3"/>
  <c r="E130" i="3" s="1"/>
  <c r="J108" i="3"/>
  <c r="L108" i="3"/>
  <c r="I108" i="3"/>
  <c r="S105" i="3"/>
  <c r="T105" i="3" s="1"/>
  <c r="U105" i="3"/>
  <c r="V105" i="3" s="1"/>
  <c r="W105" i="3" s="1"/>
  <c r="D107" i="3"/>
  <c r="I70" i="13" l="1"/>
  <c r="E66" i="12"/>
  <c r="F70" i="13"/>
  <c r="T137" i="13"/>
  <c r="U137" i="13" s="1"/>
  <c r="V137" i="13"/>
  <c r="W137" i="13" s="1"/>
  <c r="X137" i="13" s="1"/>
  <c r="S138" i="13"/>
  <c r="R139" i="13"/>
  <c r="M139" i="13"/>
  <c r="E138" i="13"/>
  <c r="Q139" i="13"/>
  <c r="K139" i="13"/>
  <c r="O139" i="13"/>
  <c r="J139" i="13"/>
  <c r="B139" i="13"/>
  <c r="H139" i="13" s="1"/>
  <c r="C138" i="13"/>
  <c r="D138" i="13" s="1"/>
  <c r="N139" i="13"/>
  <c r="I139" i="13"/>
  <c r="F138" i="13"/>
  <c r="G137" i="13"/>
  <c r="H138" i="13"/>
  <c r="D47" i="10"/>
  <c r="R52" i="3"/>
  <c r="J133" i="3"/>
  <c r="B132" i="3"/>
  <c r="C132" i="3" s="1"/>
  <c r="Q133" i="3"/>
  <c r="M133" i="3"/>
  <c r="P133" i="3"/>
  <c r="N133" i="3"/>
  <c r="A133" i="3"/>
  <c r="B133" i="3" s="1"/>
  <c r="C133" i="3" s="1"/>
  <c r="F131" i="3"/>
  <c r="E131" i="3" s="1"/>
  <c r="S106" i="3"/>
  <c r="T106" i="3" s="1"/>
  <c r="G106" i="3" s="1"/>
  <c r="H106" i="3" s="1"/>
  <c r="L109" i="3"/>
  <c r="I109" i="3"/>
  <c r="U106" i="3"/>
  <c r="V106" i="3" s="1"/>
  <c r="W106" i="3" s="1"/>
  <c r="D108" i="3"/>
  <c r="S139" i="13" l="1"/>
  <c r="D66" i="12"/>
  <c r="S70" i="13"/>
  <c r="V138" i="13"/>
  <c r="W138" i="13" s="1"/>
  <c r="X138" i="13" s="1"/>
  <c r="T138" i="13"/>
  <c r="U138" i="13" s="1"/>
  <c r="Q140" i="13"/>
  <c r="K140" i="13"/>
  <c r="O140" i="13"/>
  <c r="J140" i="13"/>
  <c r="B140" i="13"/>
  <c r="H140" i="13" s="1"/>
  <c r="C139" i="13"/>
  <c r="D139" i="13" s="1"/>
  <c r="N140" i="13"/>
  <c r="I140" i="13"/>
  <c r="F139" i="13"/>
  <c r="R140" i="13"/>
  <c r="M140" i="13"/>
  <c r="E139" i="13"/>
  <c r="G138" i="13"/>
  <c r="F48" i="10"/>
  <c r="Q134" i="3"/>
  <c r="P134" i="3"/>
  <c r="N134" i="3"/>
  <c r="M134" i="3"/>
  <c r="A134" i="3"/>
  <c r="B134" i="3" s="1"/>
  <c r="C134" i="3" s="1"/>
  <c r="F132" i="3"/>
  <c r="E132" i="3" s="1"/>
  <c r="J110" i="3"/>
  <c r="L110" i="3"/>
  <c r="I110" i="3"/>
  <c r="S107" i="3"/>
  <c r="T107" i="3" s="1"/>
  <c r="U107" i="3"/>
  <c r="V107" i="3" s="1"/>
  <c r="W107" i="3" s="1"/>
  <c r="D109" i="3"/>
  <c r="S140" i="13" l="1"/>
  <c r="F67" i="12"/>
  <c r="V139" i="13"/>
  <c r="W139" i="13" s="1"/>
  <c r="X139" i="13" s="1"/>
  <c r="T139" i="13"/>
  <c r="U139" i="13" s="1"/>
  <c r="O141" i="13"/>
  <c r="J141" i="13"/>
  <c r="B141" i="13"/>
  <c r="H141" i="13" s="1"/>
  <c r="C140" i="13"/>
  <c r="D140" i="13" s="1"/>
  <c r="N141" i="13"/>
  <c r="I141" i="13"/>
  <c r="F140" i="13"/>
  <c r="R141" i="13"/>
  <c r="M141" i="13"/>
  <c r="E140" i="13"/>
  <c r="Q141" i="13"/>
  <c r="K141" i="13"/>
  <c r="G139" i="13"/>
  <c r="E48" i="10"/>
  <c r="H53" i="3"/>
  <c r="E53" i="3"/>
  <c r="Q135" i="3"/>
  <c r="P135" i="3"/>
  <c r="N135" i="3"/>
  <c r="M135" i="3"/>
  <c r="A135" i="3"/>
  <c r="B135" i="3" s="1"/>
  <c r="C135" i="3" s="1"/>
  <c r="F133" i="3"/>
  <c r="E133" i="3" s="1"/>
  <c r="G107" i="3"/>
  <c r="H107" i="3" s="1"/>
  <c r="L111" i="3"/>
  <c r="I111" i="3"/>
  <c r="J111" i="3"/>
  <c r="R106" i="3"/>
  <c r="S108" i="3"/>
  <c r="T108" i="3" s="1"/>
  <c r="U108" i="3"/>
  <c r="V108" i="3" s="1"/>
  <c r="S109" i="3"/>
  <c r="T109" i="3" s="1"/>
  <c r="G109" i="3" s="1"/>
  <c r="H109" i="3" s="1"/>
  <c r="U109" i="3"/>
  <c r="V109" i="3" s="1"/>
  <c r="D110" i="3"/>
  <c r="I71" i="13" l="1"/>
  <c r="E67" i="12"/>
  <c r="F71" i="13"/>
  <c r="N142" i="13"/>
  <c r="I142" i="13"/>
  <c r="F141" i="13"/>
  <c r="R142" i="13"/>
  <c r="M142" i="13"/>
  <c r="E141" i="13"/>
  <c r="Q142" i="13"/>
  <c r="K142" i="13"/>
  <c r="O142" i="13"/>
  <c r="J142" i="13"/>
  <c r="B142" i="13"/>
  <c r="H142" i="13" s="1"/>
  <c r="C141" i="13"/>
  <c r="D141" i="13" s="1"/>
  <c r="G140" i="13"/>
  <c r="T140" i="13"/>
  <c r="U140" i="13" s="1"/>
  <c r="V140" i="13"/>
  <c r="W140" i="13" s="1"/>
  <c r="X140" i="13" s="1"/>
  <c r="S141" i="13"/>
  <c r="D48" i="10"/>
  <c r="R53" i="3"/>
  <c r="Q136" i="3"/>
  <c r="P136" i="3"/>
  <c r="N136" i="3"/>
  <c r="M136" i="3"/>
  <c r="A136" i="3"/>
  <c r="B136" i="3" s="1"/>
  <c r="C136" i="3" s="1"/>
  <c r="F134" i="3"/>
  <c r="E134" i="3" s="1"/>
  <c r="G108" i="3"/>
  <c r="H108" i="3" s="1"/>
  <c r="K109" i="3"/>
  <c r="Y9" i="3" s="1"/>
  <c r="Z9" i="3" s="1"/>
  <c r="W109" i="3"/>
  <c r="R107" i="3"/>
  <c r="J112" i="3"/>
  <c r="L112" i="3"/>
  <c r="I112" i="3"/>
  <c r="W108" i="3"/>
  <c r="U110" i="3"/>
  <c r="V110" i="3" s="1"/>
  <c r="S110" i="3"/>
  <c r="T110" i="3" s="1"/>
  <c r="D111" i="3"/>
  <c r="S71" i="13" l="1"/>
  <c r="D67" i="12"/>
  <c r="R143" i="13"/>
  <c r="M143" i="13"/>
  <c r="E142" i="13"/>
  <c r="Q143" i="13"/>
  <c r="K143" i="13"/>
  <c r="O143" i="13"/>
  <c r="J143" i="13"/>
  <c r="B143" i="13"/>
  <c r="H143" i="13" s="1"/>
  <c r="C142" i="13"/>
  <c r="D142" i="13" s="1"/>
  <c r="N143" i="13"/>
  <c r="I143" i="13"/>
  <c r="F142" i="13"/>
  <c r="G141" i="13"/>
  <c r="T141" i="13"/>
  <c r="U141" i="13" s="1"/>
  <c r="V141" i="13"/>
  <c r="W141" i="13" s="1"/>
  <c r="X141" i="13" s="1"/>
  <c r="S142" i="13"/>
  <c r="F49" i="10"/>
  <c r="Q137" i="3"/>
  <c r="P137" i="3"/>
  <c r="M137" i="3"/>
  <c r="N137" i="3"/>
  <c r="A137" i="3"/>
  <c r="B137" i="3" s="1"/>
  <c r="C137" i="3" s="1"/>
  <c r="F135" i="3"/>
  <c r="E135" i="3" s="1"/>
  <c r="G110" i="3"/>
  <c r="H110" i="3" s="1"/>
  <c r="W110" i="3"/>
  <c r="L113" i="3"/>
  <c r="I113" i="3"/>
  <c r="J113" i="3"/>
  <c r="D112" i="3"/>
  <c r="F68" i="12" l="1"/>
  <c r="Q144" i="13"/>
  <c r="K144" i="13"/>
  <c r="O144" i="13"/>
  <c r="J144" i="13"/>
  <c r="B144" i="13"/>
  <c r="H144" i="13" s="1"/>
  <c r="C143" i="13"/>
  <c r="D143" i="13" s="1"/>
  <c r="N144" i="13"/>
  <c r="I144" i="13"/>
  <c r="F143" i="13"/>
  <c r="R144" i="13"/>
  <c r="M144" i="13"/>
  <c r="E143" i="13"/>
  <c r="G142" i="13"/>
  <c r="V142" i="13"/>
  <c r="W142" i="13" s="1"/>
  <c r="X142" i="13" s="1"/>
  <c r="T142" i="13"/>
  <c r="U142" i="13" s="1"/>
  <c r="S143" i="13"/>
  <c r="E49" i="10"/>
  <c r="H54" i="3"/>
  <c r="E54" i="3"/>
  <c r="Q138" i="3"/>
  <c r="P138" i="3"/>
  <c r="N138" i="3"/>
  <c r="M138" i="3"/>
  <c r="A138" i="3"/>
  <c r="B138" i="3" s="1"/>
  <c r="C138" i="3" s="1"/>
  <c r="F136" i="3"/>
  <c r="E136" i="3" s="1"/>
  <c r="J114" i="3"/>
  <c r="L114" i="3"/>
  <c r="I114" i="3"/>
  <c r="R108" i="3"/>
  <c r="S111" i="3"/>
  <c r="T111" i="3" s="1"/>
  <c r="U111" i="3"/>
  <c r="V111" i="3" s="1"/>
  <c r="W111" i="3" s="1"/>
  <c r="D113" i="3"/>
  <c r="I72" i="13" l="1"/>
  <c r="E68" i="12"/>
  <c r="F72" i="13"/>
  <c r="V143" i="13"/>
  <c r="W143" i="13" s="1"/>
  <c r="X143" i="13" s="1"/>
  <c r="T143" i="13"/>
  <c r="U143" i="13" s="1"/>
  <c r="S144" i="13"/>
  <c r="N145" i="13"/>
  <c r="J145" i="13"/>
  <c r="B145" i="13"/>
  <c r="C144" i="13"/>
  <c r="D144" i="13" s="1"/>
  <c r="R145" i="13"/>
  <c r="M145" i="13"/>
  <c r="I145" i="13"/>
  <c r="F144" i="13"/>
  <c r="Q145" i="13"/>
  <c r="E144" i="13"/>
  <c r="O145" i="13"/>
  <c r="K145" i="13"/>
  <c r="L145" i="13"/>
  <c r="G143" i="13"/>
  <c r="D49" i="10"/>
  <c r="R54" i="3"/>
  <c r="P139" i="3"/>
  <c r="N139" i="3"/>
  <c r="Q139" i="3"/>
  <c r="M139" i="3"/>
  <c r="A139" i="3"/>
  <c r="B139" i="3" s="1"/>
  <c r="C139" i="3" s="1"/>
  <c r="F137" i="3"/>
  <c r="E137" i="3" s="1"/>
  <c r="G111" i="3"/>
  <c r="H111" i="3" s="1"/>
  <c r="R109" i="3"/>
  <c r="L115" i="3"/>
  <c r="I115" i="3"/>
  <c r="J115" i="3"/>
  <c r="R110" i="3"/>
  <c r="S112" i="3"/>
  <c r="T112" i="3" s="1"/>
  <c r="U112" i="3"/>
  <c r="V112" i="3" s="1"/>
  <c r="W112" i="3" s="1"/>
  <c r="D114" i="3"/>
  <c r="L73" i="13" l="1"/>
  <c r="S72" i="13"/>
  <c r="D68" i="12"/>
  <c r="R146" i="13"/>
  <c r="M146" i="13"/>
  <c r="F145" i="13"/>
  <c r="Q146" i="13"/>
  <c r="K146" i="13"/>
  <c r="E145" i="13"/>
  <c r="O146" i="13"/>
  <c r="J146" i="13"/>
  <c r="B146" i="13"/>
  <c r="N146" i="13"/>
  <c r="I146" i="13"/>
  <c r="C145" i="13"/>
  <c r="D145" i="13" s="1"/>
  <c r="G144" i="13"/>
  <c r="H145" i="13"/>
  <c r="T144" i="13"/>
  <c r="U144" i="13" s="1"/>
  <c r="V144" i="13"/>
  <c r="W144" i="13" s="1"/>
  <c r="X144" i="13" s="1"/>
  <c r="S145" i="13"/>
  <c r="F50" i="10"/>
  <c r="Q140" i="3"/>
  <c r="P140" i="3"/>
  <c r="N140" i="3"/>
  <c r="M140" i="3"/>
  <c r="A140" i="3"/>
  <c r="B140" i="3" s="1"/>
  <c r="C140" i="3" s="1"/>
  <c r="F138" i="3"/>
  <c r="E138" i="3" s="1"/>
  <c r="G112" i="3"/>
  <c r="H112" i="3" s="1"/>
  <c r="J116" i="3"/>
  <c r="L116" i="3"/>
  <c r="I116" i="3"/>
  <c r="U113" i="3"/>
  <c r="V113" i="3" s="1"/>
  <c r="S113" i="3"/>
  <c r="T113" i="3" s="1"/>
  <c r="D115" i="3"/>
  <c r="F69" i="12" l="1"/>
  <c r="Z6" i="13"/>
  <c r="L85" i="13"/>
  <c r="Q147" i="13"/>
  <c r="K147" i="13"/>
  <c r="O147" i="13"/>
  <c r="J147" i="13"/>
  <c r="B147" i="13"/>
  <c r="H147" i="13" s="1"/>
  <c r="C146" i="13"/>
  <c r="D146" i="13" s="1"/>
  <c r="N147" i="13"/>
  <c r="I147" i="13"/>
  <c r="F146" i="13"/>
  <c r="R147" i="13"/>
  <c r="M147" i="13"/>
  <c r="E146" i="13"/>
  <c r="G145" i="13"/>
  <c r="H146" i="13"/>
  <c r="V145" i="13"/>
  <c r="W145" i="13" s="1"/>
  <c r="X145" i="13" s="1"/>
  <c r="T145" i="13"/>
  <c r="U145" i="13" s="1"/>
  <c r="S146" i="13"/>
  <c r="E50" i="10"/>
  <c r="H55" i="3"/>
  <c r="E55" i="3"/>
  <c r="Q141" i="3"/>
  <c r="M141" i="3"/>
  <c r="P141" i="3"/>
  <c r="N141" i="3"/>
  <c r="A141" i="3"/>
  <c r="B141" i="3" s="1"/>
  <c r="C141" i="3" s="1"/>
  <c r="F139" i="3"/>
  <c r="E139" i="3" s="1"/>
  <c r="G113" i="3"/>
  <c r="H113" i="3" s="1"/>
  <c r="R111" i="3"/>
  <c r="W113" i="3"/>
  <c r="L117" i="3"/>
  <c r="I117" i="3"/>
  <c r="J117" i="3"/>
  <c r="R112" i="3"/>
  <c r="U114" i="3"/>
  <c r="V114" i="3" s="1"/>
  <c r="W114" i="3" s="1"/>
  <c r="S114" i="3"/>
  <c r="T114" i="3" s="1"/>
  <c r="D116" i="3"/>
  <c r="AA6" i="13" l="1"/>
  <c r="AA22" i="13" s="1"/>
  <c r="Z22" i="13"/>
  <c r="I73" i="13"/>
  <c r="E69" i="12"/>
  <c r="F73" i="13"/>
  <c r="O148" i="13"/>
  <c r="J148" i="13"/>
  <c r="B148" i="13"/>
  <c r="C147" i="13"/>
  <c r="D147" i="13" s="1"/>
  <c r="N148" i="13"/>
  <c r="I148" i="13"/>
  <c r="F147" i="13"/>
  <c r="R148" i="13"/>
  <c r="M148" i="13"/>
  <c r="E147" i="13"/>
  <c r="Q148" i="13"/>
  <c r="K148" i="13"/>
  <c r="G146" i="13"/>
  <c r="V146" i="13"/>
  <c r="W146" i="13" s="1"/>
  <c r="X146" i="13" s="1"/>
  <c r="T146" i="13"/>
  <c r="U146" i="13" s="1"/>
  <c r="S147" i="13"/>
  <c r="D50" i="10"/>
  <c r="R55" i="3"/>
  <c r="Q142" i="3"/>
  <c r="P142" i="3"/>
  <c r="N142" i="3"/>
  <c r="M142" i="3"/>
  <c r="A142" i="3"/>
  <c r="B142" i="3" s="1"/>
  <c r="C142" i="3" s="1"/>
  <c r="F140" i="3"/>
  <c r="E140" i="3" s="1"/>
  <c r="G114" i="3"/>
  <c r="H114" i="3" s="1"/>
  <c r="J118" i="3"/>
  <c r="L118" i="3"/>
  <c r="I118" i="3"/>
  <c r="R113" i="3"/>
  <c r="S115" i="3"/>
  <c r="T115" i="3" s="1"/>
  <c r="U115" i="3"/>
  <c r="V115" i="3" s="1"/>
  <c r="W115" i="3" s="1"/>
  <c r="S116" i="3"/>
  <c r="T116" i="3" s="1"/>
  <c r="D117" i="3"/>
  <c r="S148" i="13" l="1"/>
  <c r="D69" i="12"/>
  <c r="S73" i="13"/>
  <c r="N149" i="13"/>
  <c r="I149" i="13"/>
  <c r="F148" i="13"/>
  <c r="R149" i="13"/>
  <c r="M149" i="13"/>
  <c r="E148" i="13"/>
  <c r="Q149" i="13"/>
  <c r="K149" i="13"/>
  <c r="O149" i="13"/>
  <c r="J149" i="13"/>
  <c r="B149" i="13"/>
  <c r="H149" i="13" s="1"/>
  <c r="C148" i="13"/>
  <c r="D148" i="13" s="1"/>
  <c r="G147" i="13"/>
  <c r="H148" i="13"/>
  <c r="T147" i="13"/>
  <c r="U147" i="13" s="1"/>
  <c r="V147" i="13"/>
  <c r="W147" i="13" s="1"/>
  <c r="X147" i="13" s="1"/>
  <c r="F51" i="10"/>
  <c r="Q143" i="3"/>
  <c r="P143" i="3"/>
  <c r="N143" i="3"/>
  <c r="M143" i="3"/>
  <c r="A143" i="3"/>
  <c r="B143" i="3" s="1"/>
  <c r="C143" i="3" s="1"/>
  <c r="F141" i="3"/>
  <c r="E141" i="3" s="1"/>
  <c r="G115" i="3"/>
  <c r="H115" i="3" s="1"/>
  <c r="R114" i="3"/>
  <c r="L119" i="3"/>
  <c r="I119" i="3"/>
  <c r="J119" i="3"/>
  <c r="U116" i="3"/>
  <c r="V116" i="3" s="1"/>
  <c r="D118" i="3"/>
  <c r="F70" i="12" l="1"/>
  <c r="S149" i="13"/>
  <c r="R150" i="13"/>
  <c r="M150" i="13"/>
  <c r="E149" i="13"/>
  <c r="Q150" i="13"/>
  <c r="K150" i="13"/>
  <c r="O150" i="13"/>
  <c r="J150" i="13"/>
  <c r="B150" i="13"/>
  <c r="C149" i="13"/>
  <c r="D149" i="13" s="1"/>
  <c r="N150" i="13"/>
  <c r="I150" i="13"/>
  <c r="F149" i="13"/>
  <c r="G148" i="13"/>
  <c r="T148" i="13"/>
  <c r="U148" i="13" s="1"/>
  <c r="V148" i="13"/>
  <c r="W148" i="13" s="1"/>
  <c r="X148" i="13" s="1"/>
  <c r="E51" i="10"/>
  <c r="H56" i="3"/>
  <c r="E56" i="3"/>
  <c r="Q144" i="3"/>
  <c r="P144" i="3"/>
  <c r="N144" i="3"/>
  <c r="M144" i="3"/>
  <c r="A144" i="3"/>
  <c r="B144" i="3" s="1"/>
  <c r="C144" i="3" s="1"/>
  <c r="F142" i="3"/>
  <c r="E142" i="3" s="1"/>
  <c r="G116" i="3"/>
  <c r="H116" i="3" s="1"/>
  <c r="W116" i="3"/>
  <c r="J120" i="3"/>
  <c r="L120" i="3"/>
  <c r="I120" i="3"/>
  <c r="U117" i="3"/>
  <c r="V117" i="3" s="1"/>
  <c r="S117" i="3"/>
  <c r="T117" i="3" s="1"/>
  <c r="S118" i="3"/>
  <c r="T118" i="3" s="1"/>
  <c r="G118" i="3" s="1"/>
  <c r="H118" i="3" s="1"/>
  <c r="U118" i="3"/>
  <c r="V118" i="3" s="1"/>
  <c r="D119" i="3"/>
  <c r="I74" i="13" l="1"/>
  <c r="E70" i="12"/>
  <c r="F74" i="13"/>
  <c r="S150" i="13"/>
  <c r="Q151" i="13"/>
  <c r="K151" i="13"/>
  <c r="O151" i="13"/>
  <c r="J151" i="13"/>
  <c r="B151" i="13"/>
  <c r="C150" i="13"/>
  <c r="D150" i="13" s="1"/>
  <c r="N151" i="13"/>
  <c r="I151" i="13"/>
  <c r="F150" i="13"/>
  <c r="R151" i="13"/>
  <c r="M151" i="13"/>
  <c r="E150" i="13"/>
  <c r="G149" i="13"/>
  <c r="V149" i="13"/>
  <c r="W149" i="13" s="1"/>
  <c r="X149" i="13" s="1"/>
  <c r="T149" i="13"/>
  <c r="U149" i="13" s="1"/>
  <c r="H150" i="13"/>
  <c r="D51" i="10"/>
  <c r="R56" i="3"/>
  <c r="M145" i="3"/>
  <c r="N145" i="3"/>
  <c r="A145" i="3"/>
  <c r="B145" i="3" s="1"/>
  <c r="C145" i="3" s="1"/>
  <c r="F143" i="3"/>
  <c r="E143" i="3" s="1"/>
  <c r="G117" i="3"/>
  <c r="H117" i="3" s="1"/>
  <c r="W118" i="3"/>
  <c r="W117" i="3"/>
  <c r="R115" i="3"/>
  <c r="L121" i="3"/>
  <c r="I121" i="3"/>
  <c r="D120" i="3"/>
  <c r="D70" i="12" l="1"/>
  <c r="S74" i="13"/>
  <c r="O152" i="13"/>
  <c r="J152" i="13"/>
  <c r="B152" i="13"/>
  <c r="H152" i="13" s="1"/>
  <c r="C151" i="13"/>
  <c r="D151" i="13" s="1"/>
  <c r="N152" i="13"/>
  <c r="I152" i="13"/>
  <c r="F151" i="13"/>
  <c r="R152" i="13"/>
  <c r="M152" i="13"/>
  <c r="E151" i="13"/>
  <c r="Q152" i="13"/>
  <c r="K152" i="13"/>
  <c r="G150" i="13"/>
  <c r="S151" i="13"/>
  <c r="H151" i="13"/>
  <c r="V150" i="13"/>
  <c r="W150" i="13" s="1"/>
  <c r="X150" i="13" s="1"/>
  <c r="T150" i="13"/>
  <c r="U150" i="13" s="1"/>
  <c r="F52" i="10"/>
  <c r="Q146" i="3"/>
  <c r="P146" i="3"/>
  <c r="N146" i="3"/>
  <c r="M146" i="3"/>
  <c r="A146" i="3"/>
  <c r="B146" i="3" s="1"/>
  <c r="C146" i="3" s="1"/>
  <c r="F144" i="3"/>
  <c r="E144" i="3" s="1"/>
  <c r="L122" i="3"/>
  <c r="I122" i="3"/>
  <c r="J122" i="3"/>
  <c r="R116" i="3"/>
  <c r="S119" i="3"/>
  <c r="T119" i="3" s="1"/>
  <c r="U119" i="3"/>
  <c r="V119" i="3" s="1"/>
  <c r="W119" i="3" s="1"/>
  <c r="D121" i="3"/>
  <c r="S152" i="13" l="1"/>
  <c r="F71" i="12"/>
  <c r="N153" i="13"/>
  <c r="I153" i="13"/>
  <c r="F152" i="13"/>
  <c r="R153" i="13"/>
  <c r="M153" i="13"/>
  <c r="E152" i="13"/>
  <c r="Q153" i="13"/>
  <c r="K153" i="13"/>
  <c r="O153" i="13"/>
  <c r="J153" i="13"/>
  <c r="B153" i="13"/>
  <c r="H153" i="13" s="1"/>
  <c r="C152" i="13"/>
  <c r="D152" i="13" s="1"/>
  <c r="G151" i="13"/>
  <c r="T151" i="13"/>
  <c r="U151" i="13" s="1"/>
  <c r="V151" i="13"/>
  <c r="W151" i="13" s="1"/>
  <c r="X151" i="13" s="1"/>
  <c r="E52" i="10"/>
  <c r="H57" i="3"/>
  <c r="E57" i="3"/>
  <c r="P147" i="3"/>
  <c r="Q147" i="3"/>
  <c r="N147" i="3"/>
  <c r="M147" i="3"/>
  <c r="A147" i="3"/>
  <c r="B147" i="3" s="1"/>
  <c r="C147" i="3" s="1"/>
  <c r="F145" i="3"/>
  <c r="E145" i="3" s="1"/>
  <c r="G119" i="3"/>
  <c r="H119" i="3" s="1"/>
  <c r="J123" i="3"/>
  <c r="L123" i="3"/>
  <c r="I123" i="3"/>
  <c r="R118" i="3"/>
  <c r="R117" i="3"/>
  <c r="S120" i="3"/>
  <c r="T120" i="3" s="1"/>
  <c r="U120" i="3"/>
  <c r="V120" i="3" s="1"/>
  <c r="D122" i="3"/>
  <c r="I75" i="13" l="1"/>
  <c r="E71" i="12"/>
  <c r="F75" i="13"/>
  <c r="T152" i="13"/>
  <c r="U152" i="13" s="1"/>
  <c r="V152" i="13"/>
  <c r="W152" i="13" s="1"/>
  <c r="X152" i="13" s="1"/>
  <c r="S153" i="13"/>
  <c r="R154" i="13"/>
  <c r="M154" i="13"/>
  <c r="E153" i="13"/>
  <c r="Q154" i="13"/>
  <c r="K154" i="13"/>
  <c r="O154" i="13"/>
  <c r="J154" i="13"/>
  <c r="B154" i="13"/>
  <c r="H154" i="13" s="1"/>
  <c r="C153" i="13"/>
  <c r="D153" i="13" s="1"/>
  <c r="N154" i="13"/>
  <c r="I154" i="13"/>
  <c r="F153" i="13"/>
  <c r="G152" i="13"/>
  <c r="D52" i="10"/>
  <c r="R57" i="3"/>
  <c r="Q148" i="3"/>
  <c r="P148" i="3"/>
  <c r="N148" i="3"/>
  <c r="M148" i="3"/>
  <c r="A148" i="3"/>
  <c r="B148" i="3" s="1"/>
  <c r="C148" i="3" s="1"/>
  <c r="F146" i="3"/>
  <c r="E146" i="3" s="1"/>
  <c r="K121" i="3"/>
  <c r="Y10" i="3" s="1"/>
  <c r="Z10" i="3" s="1"/>
  <c r="W120" i="3"/>
  <c r="G120" i="3" s="1"/>
  <c r="H120" i="3" s="1"/>
  <c r="L124" i="3"/>
  <c r="I124" i="3"/>
  <c r="J124" i="3"/>
  <c r="S121" i="3"/>
  <c r="T121" i="3" s="1"/>
  <c r="U121" i="3"/>
  <c r="V121" i="3" s="1"/>
  <c r="U122" i="3"/>
  <c r="V122" i="3" s="1"/>
  <c r="S122" i="3"/>
  <c r="T122" i="3" s="1"/>
  <c r="D123" i="3"/>
  <c r="S154" i="13" l="1"/>
  <c r="S75" i="13"/>
  <c r="D71" i="12"/>
  <c r="V153" i="13"/>
  <c r="W153" i="13" s="1"/>
  <c r="X153" i="13" s="1"/>
  <c r="T153" i="13"/>
  <c r="U153" i="13" s="1"/>
  <c r="Q155" i="13"/>
  <c r="K155" i="13"/>
  <c r="O155" i="13"/>
  <c r="J155" i="13"/>
  <c r="B155" i="13"/>
  <c r="H155" i="13" s="1"/>
  <c r="C154" i="13"/>
  <c r="D154" i="13" s="1"/>
  <c r="N155" i="13"/>
  <c r="I155" i="13"/>
  <c r="F154" i="13"/>
  <c r="R155" i="13"/>
  <c r="M155" i="13"/>
  <c r="E154" i="13"/>
  <c r="G153" i="13"/>
  <c r="F53" i="10"/>
  <c r="M149" i="3"/>
  <c r="N149" i="3"/>
  <c r="A149" i="3"/>
  <c r="B149" i="3" s="1"/>
  <c r="C149" i="3" s="1"/>
  <c r="F147" i="3"/>
  <c r="E147" i="3" s="1"/>
  <c r="G122" i="3"/>
  <c r="H122" i="3" s="1"/>
  <c r="G121" i="3"/>
  <c r="H121" i="3" s="1"/>
  <c r="W122" i="3"/>
  <c r="W121" i="3"/>
  <c r="J125" i="3"/>
  <c r="L125" i="3"/>
  <c r="I125" i="3"/>
  <c r="R119" i="3"/>
  <c r="D124" i="3"/>
  <c r="S155" i="13" l="1"/>
  <c r="F72" i="12"/>
  <c r="V154" i="13"/>
  <c r="W154" i="13" s="1"/>
  <c r="X154" i="13" s="1"/>
  <c r="T154" i="13"/>
  <c r="U154" i="13" s="1"/>
  <c r="O156" i="13"/>
  <c r="J156" i="13"/>
  <c r="B156" i="13"/>
  <c r="C155" i="13"/>
  <c r="D155" i="13" s="1"/>
  <c r="N156" i="13"/>
  <c r="I156" i="13"/>
  <c r="F155" i="13"/>
  <c r="R156" i="13"/>
  <c r="M156" i="13"/>
  <c r="E155" i="13"/>
  <c r="Q156" i="13"/>
  <c r="K156" i="13"/>
  <c r="G154" i="13"/>
  <c r="E53" i="10"/>
  <c r="H58" i="3"/>
  <c r="E58" i="3"/>
  <c r="N150" i="3"/>
  <c r="M150" i="3"/>
  <c r="A150" i="3"/>
  <c r="B150" i="3" s="1"/>
  <c r="C150" i="3" s="1"/>
  <c r="F148" i="3"/>
  <c r="E148" i="3" s="1"/>
  <c r="R120" i="3"/>
  <c r="L126" i="3"/>
  <c r="I126" i="3"/>
  <c r="J126" i="3"/>
  <c r="S123" i="3"/>
  <c r="T123" i="3" s="1"/>
  <c r="U123" i="3"/>
  <c r="V123" i="3" s="1"/>
  <c r="W123" i="3" s="1"/>
  <c r="D125" i="3"/>
  <c r="I76" i="13" l="1"/>
  <c r="E72" i="12"/>
  <c r="F76" i="13"/>
  <c r="T155" i="13"/>
  <c r="U155" i="13" s="1"/>
  <c r="V155" i="13"/>
  <c r="W155" i="13" s="1"/>
  <c r="X155" i="13" s="1"/>
  <c r="R157" i="13"/>
  <c r="M157" i="13"/>
  <c r="I157" i="13"/>
  <c r="F156" i="13"/>
  <c r="Q157" i="13"/>
  <c r="E156" i="13"/>
  <c r="O157" i="13"/>
  <c r="N157" i="13"/>
  <c r="J157" i="13"/>
  <c r="B157" i="13"/>
  <c r="C156" i="13"/>
  <c r="D156" i="13" s="1"/>
  <c r="L157" i="13"/>
  <c r="K157" i="13"/>
  <c r="G155" i="13"/>
  <c r="H156" i="13"/>
  <c r="S156" i="13"/>
  <c r="D53" i="10"/>
  <c r="R58" i="3"/>
  <c r="Q151" i="3"/>
  <c r="P151" i="3"/>
  <c r="N151" i="3"/>
  <c r="M151" i="3"/>
  <c r="A151" i="3"/>
  <c r="B151" i="3" s="1"/>
  <c r="C151" i="3" s="1"/>
  <c r="F149" i="3"/>
  <c r="E149" i="3" s="1"/>
  <c r="G123" i="3"/>
  <c r="H123" i="3" s="1"/>
  <c r="J127" i="3"/>
  <c r="L127" i="3"/>
  <c r="I127" i="3"/>
  <c r="R122" i="3"/>
  <c r="R121" i="3"/>
  <c r="S124" i="3"/>
  <c r="T124" i="3" s="1"/>
  <c r="U124" i="3"/>
  <c r="V124" i="3" s="1"/>
  <c r="W124" i="3" s="1"/>
  <c r="D126" i="3"/>
  <c r="D72" i="12" l="1"/>
  <c r="S76" i="13"/>
  <c r="T156" i="13"/>
  <c r="U156" i="13" s="1"/>
  <c r="V156" i="13"/>
  <c r="W156" i="13" s="1"/>
  <c r="X156" i="13" s="1"/>
  <c r="Q158" i="13"/>
  <c r="K158" i="13"/>
  <c r="E157" i="13"/>
  <c r="O158" i="13"/>
  <c r="J158" i="13"/>
  <c r="B158" i="13"/>
  <c r="N158" i="13"/>
  <c r="I158" i="13"/>
  <c r="C157" i="13"/>
  <c r="D157" i="13" s="1"/>
  <c r="R158" i="13"/>
  <c r="M158" i="13"/>
  <c r="H158" i="13"/>
  <c r="F157" i="13"/>
  <c r="G156" i="13"/>
  <c r="S157" i="13"/>
  <c r="H157" i="13"/>
  <c r="F54" i="10"/>
  <c r="Q152" i="3"/>
  <c r="P152" i="3"/>
  <c r="N152" i="3"/>
  <c r="M152" i="3"/>
  <c r="A152" i="3"/>
  <c r="B152" i="3" s="1"/>
  <c r="C152" i="3" s="1"/>
  <c r="F150" i="3"/>
  <c r="E150" i="3" s="1"/>
  <c r="G124" i="3"/>
  <c r="H124" i="3" s="1"/>
  <c r="L128" i="3"/>
  <c r="I128" i="3"/>
  <c r="J128" i="3"/>
  <c r="R123" i="3"/>
  <c r="U125" i="3"/>
  <c r="V125" i="3" s="1"/>
  <c r="W125" i="3" s="1"/>
  <c r="S125" i="3"/>
  <c r="T125" i="3" s="1"/>
  <c r="G125" i="3" s="1"/>
  <c r="H125" i="3" s="1"/>
  <c r="U126" i="3"/>
  <c r="V126" i="3" s="1"/>
  <c r="S126" i="3"/>
  <c r="T126" i="3" s="1"/>
  <c r="D127" i="3"/>
  <c r="F73" i="12" l="1"/>
  <c r="V157" i="13"/>
  <c r="W157" i="13" s="1"/>
  <c r="X157" i="13" s="1"/>
  <c r="T157" i="13"/>
  <c r="U157" i="13" s="1"/>
  <c r="S158" i="13"/>
  <c r="O159" i="13"/>
  <c r="J159" i="13"/>
  <c r="B159" i="13"/>
  <c r="C158" i="13"/>
  <c r="D158" i="13" s="1"/>
  <c r="N159" i="13"/>
  <c r="I159" i="13"/>
  <c r="F158" i="13"/>
  <c r="R159" i="13"/>
  <c r="M159" i="13"/>
  <c r="E158" i="13"/>
  <c r="Q159" i="13"/>
  <c r="K159" i="13"/>
  <c r="G157" i="13"/>
  <c r="E54" i="10"/>
  <c r="E59" i="3"/>
  <c r="H59" i="3"/>
  <c r="G126" i="3"/>
  <c r="H126" i="3" s="1"/>
  <c r="Q153" i="3"/>
  <c r="P153" i="3"/>
  <c r="M153" i="3"/>
  <c r="N153" i="3"/>
  <c r="A153" i="3"/>
  <c r="B153" i="3" s="1"/>
  <c r="C153" i="3" s="1"/>
  <c r="F151" i="3"/>
  <c r="E151" i="3" s="1"/>
  <c r="W126" i="3"/>
  <c r="J129" i="3"/>
  <c r="L129" i="3"/>
  <c r="I129" i="3"/>
  <c r="D128" i="3"/>
  <c r="I77" i="13" l="1"/>
  <c r="E73" i="12"/>
  <c r="F77" i="13"/>
  <c r="T158" i="13"/>
  <c r="U158" i="13" s="1"/>
  <c r="V158" i="13"/>
  <c r="W158" i="13" s="1"/>
  <c r="X158" i="13" s="1"/>
  <c r="N160" i="13"/>
  <c r="I160" i="13"/>
  <c r="F159" i="13"/>
  <c r="R160" i="13"/>
  <c r="M160" i="13"/>
  <c r="E159" i="13"/>
  <c r="Q160" i="13"/>
  <c r="K160" i="13"/>
  <c r="O160" i="13"/>
  <c r="J160" i="13"/>
  <c r="B160" i="13"/>
  <c r="C159" i="13"/>
  <c r="D159" i="13" s="1"/>
  <c r="G158" i="13"/>
  <c r="H159" i="13"/>
  <c r="S159" i="13"/>
  <c r="D54" i="10"/>
  <c r="R59" i="3"/>
  <c r="Q154" i="3"/>
  <c r="P154" i="3"/>
  <c r="N154" i="3"/>
  <c r="M154" i="3"/>
  <c r="A154" i="3"/>
  <c r="B154" i="3" s="1"/>
  <c r="C154" i="3" s="1"/>
  <c r="F152" i="3"/>
  <c r="E152" i="3" s="1"/>
  <c r="R124" i="3"/>
  <c r="L130" i="3"/>
  <c r="I130" i="3"/>
  <c r="J130" i="3"/>
  <c r="R125" i="3"/>
  <c r="U127" i="3"/>
  <c r="V127" i="3" s="1"/>
  <c r="S127" i="3"/>
  <c r="T127" i="3" s="1"/>
  <c r="D129" i="3"/>
  <c r="D73" i="12" l="1"/>
  <c r="S77" i="13"/>
  <c r="R161" i="13"/>
  <c r="M161" i="13"/>
  <c r="E160" i="13"/>
  <c r="Q161" i="13"/>
  <c r="K161" i="13"/>
  <c r="O161" i="13"/>
  <c r="J161" i="13"/>
  <c r="B161" i="13"/>
  <c r="H161" i="13" s="1"/>
  <c r="C160" i="13"/>
  <c r="D160" i="13" s="1"/>
  <c r="N161" i="13"/>
  <c r="I161" i="13"/>
  <c r="F160" i="13"/>
  <c r="G159" i="13"/>
  <c r="T159" i="13"/>
  <c r="U159" i="13" s="1"/>
  <c r="V159" i="13"/>
  <c r="W159" i="13" s="1"/>
  <c r="X159" i="13" s="1"/>
  <c r="H160" i="13"/>
  <c r="S160" i="13"/>
  <c r="F55" i="10"/>
  <c r="P155" i="3"/>
  <c r="N155" i="3"/>
  <c r="Q155" i="3"/>
  <c r="M155" i="3"/>
  <c r="A155" i="3"/>
  <c r="B155" i="3" s="1"/>
  <c r="C155" i="3" s="1"/>
  <c r="F153" i="3"/>
  <c r="E153" i="3" s="1"/>
  <c r="G127" i="3"/>
  <c r="H127" i="3" s="1"/>
  <c r="R126" i="3"/>
  <c r="W127" i="3"/>
  <c r="J131" i="3"/>
  <c r="L131" i="3"/>
  <c r="I131" i="3"/>
  <c r="U128" i="3"/>
  <c r="V128" i="3" s="1"/>
  <c r="W128" i="3" s="1"/>
  <c r="S128" i="3"/>
  <c r="T128" i="3" s="1"/>
  <c r="S129" i="3"/>
  <c r="T129" i="3" s="1"/>
  <c r="D130" i="3"/>
  <c r="F74" i="12" l="1"/>
  <c r="V160" i="13"/>
  <c r="W160" i="13" s="1"/>
  <c r="X160" i="13" s="1"/>
  <c r="T160" i="13"/>
  <c r="U160" i="13" s="1"/>
  <c r="Q162" i="13"/>
  <c r="K162" i="13"/>
  <c r="O162" i="13"/>
  <c r="J162" i="13"/>
  <c r="B162" i="13"/>
  <c r="H162" i="13" s="1"/>
  <c r="C161" i="13"/>
  <c r="D161" i="13" s="1"/>
  <c r="N162" i="13"/>
  <c r="I162" i="13"/>
  <c r="F161" i="13"/>
  <c r="R162" i="13"/>
  <c r="M162" i="13"/>
  <c r="E161" i="13"/>
  <c r="G160" i="13"/>
  <c r="S161" i="13"/>
  <c r="E55" i="10"/>
  <c r="E60" i="3"/>
  <c r="H60" i="3"/>
  <c r="Q156" i="3"/>
  <c r="P156" i="3"/>
  <c r="N156" i="3"/>
  <c r="M156" i="3"/>
  <c r="A156" i="3"/>
  <c r="F154" i="3"/>
  <c r="E154" i="3" s="1"/>
  <c r="G128" i="3"/>
  <c r="H128" i="3" s="1"/>
  <c r="L132" i="3"/>
  <c r="I132" i="3"/>
  <c r="J132" i="3"/>
  <c r="U129" i="3"/>
  <c r="V129" i="3" s="1"/>
  <c r="D131" i="3"/>
  <c r="S162" i="13" l="1"/>
  <c r="I78" i="13"/>
  <c r="E74" i="12"/>
  <c r="F78" i="13"/>
  <c r="V161" i="13"/>
  <c r="W161" i="13" s="1"/>
  <c r="X161" i="13" s="1"/>
  <c r="T161" i="13"/>
  <c r="U161" i="13" s="1"/>
  <c r="O163" i="13"/>
  <c r="J163" i="13"/>
  <c r="B163" i="13"/>
  <c r="H163" i="13" s="1"/>
  <c r="C162" i="13"/>
  <c r="D162" i="13" s="1"/>
  <c r="N163" i="13"/>
  <c r="I163" i="13"/>
  <c r="F162" i="13"/>
  <c r="R163" i="13"/>
  <c r="M163" i="13"/>
  <c r="E162" i="13"/>
  <c r="Q163" i="13"/>
  <c r="K163" i="13"/>
  <c r="G161" i="13"/>
  <c r="D55" i="10"/>
  <c r="K61" i="3"/>
  <c r="R60" i="3"/>
  <c r="J157" i="3"/>
  <c r="B156" i="3"/>
  <c r="C156" i="3" s="1"/>
  <c r="Q157" i="3"/>
  <c r="M157" i="3"/>
  <c r="P157" i="3"/>
  <c r="N157" i="3"/>
  <c r="A157" i="3"/>
  <c r="B157" i="3" s="1"/>
  <c r="C157" i="3" s="1"/>
  <c r="F155" i="3"/>
  <c r="E155" i="3" s="1"/>
  <c r="G129" i="3"/>
  <c r="H129" i="3" s="1"/>
  <c r="W129" i="3"/>
  <c r="L133" i="3"/>
  <c r="I133" i="3"/>
  <c r="R127" i="3"/>
  <c r="S130" i="3"/>
  <c r="T130" i="3" s="1"/>
  <c r="U130" i="3"/>
  <c r="V130" i="3" s="1"/>
  <c r="U131" i="3"/>
  <c r="V131" i="3" s="1"/>
  <c r="D132" i="3"/>
  <c r="S78" i="13" l="1"/>
  <c r="D74" i="12"/>
  <c r="T162" i="13"/>
  <c r="U162" i="13" s="1"/>
  <c r="V162" i="13"/>
  <c r="W162" i="13" s="1"/>
  <c r="X162" i="13" s="1"/>
  <c r="N164" i="13"/>
  <c r="I164" i="13"/>
  <c r="F163" i="13"/>
  <c r="R164" i="13"/>
  <c r="M164" i="13"/>
  <c r="E163" i="13"/>
  <c r="Q164" i="13"/>
  <c r="K164" i="13"/>
  <c r="O164" i="13"/>
  <c r="J164" i="13"/>
  <c r="B164" i="13"/>
  <c r="C163" i="13"/>
  <c r="D163" i="13" s="1"/>
  <c r="G162" i="13"/>
  <c r="S163" i="13"/>
  <c r="O56" i="10"/>
  <c r="O57" i="12"/>
  <c r="F56" i="10"/>
  <c r="Y5" i="3"/>
  <c r="Z5" i="3" s="1"/>
  <c r="Q158" i="3"/>
  <c r="P158" i="3"/>
  <c r="N158" i="3"/>
  <c r="M158" i="3"/>
  <c r="A158" i="3"/>
  <c r="B158" i="3" s="1"/>
  <c r="C158" i="3" s="1"/>
  <c r="F156" i="3"/>
  <c r="E156" i="3" s="1"/>
  <c r="G130" i="3"/>
  <c r="H130" i="3" s="1"/>
  <c r="R128" i="3"/>
  <c r="W130" i="3"/>
  <c r="L134" i="3"/>
  <c r="I134" i="3"/>
  <c r="J134" i="3"/>
  <c r="S131" i="3"/>
  <c r="T131" i="3" s="1"/>
  <c r="D133" i="3"/>
  <c r="F75" i="12" l="1"/>
  <c r="R165" i="13"/>
  <c r="M165" i="13"/>
  <c r="E164" i="13"/>
  <c r="Q165" i="13"/>
  <c r="K165" i="13"/>
  <c r="O165" i="13"/>
  <c r="J165" i="13"/>
  <c r="B165" i="13"/>
  <c r="H165" i="13" s="1"/>
  <c r="C164" i="13"/>
  <c r="D164" i="13" s="1"/>
  <c r="N165" i="13"/>
  <c r="I165" i="13"/>
  <c r="F164" i="13"/>
  <c r="G163" i="13"/>
  <c r="T163" i="13"/>
  <c r="U163" i="13" s="1"/>
  <c r="V163" i="13"/>
  <c r="W163" i="13" s="1"/>
  <c r="X163" i="13" s="1"/>
  <c r="H164" i="13"/>
  <c r="S164" i="13"/>
  <c r="E56" i="10"/>
  <c r="E61" i="3"/>
  <c r="Q159" i="3"/>
  <c r="P159" i="3"/>
  <c r="N159" i="3"/>
  <c r="M159" i="3"/>
  <c r="A159" i="3"/>
  <c r="B159" i="3" s="1"/>
  <c r="C159" i="3" s="1"/>
  <c r="F157" i="3"/>
  <c r="E157" i="3" s="1"/>
  <c r="G131" i="3"/>
  <c r="H131" i="3" s="1"/>
  <c r="W131" i="3"/>
  <c r="J135" i="3"/>
  <c r="L135" i="3"/>
  <c r="I135" i="3"/>
  <c r="R129" i="3"/>
  <c r="S132" i="3"/>
  <c r="T132" i="3" s="1"/>
  <c r="U132" i="3"/>
  <c r="V132" i="3" s="1"/>
  <c r="W132" i="3" s="1"/>
  <c r="D134" i="3"/>
  <c r="S133" i="3"/>
  <c r="T133" i="3" s="1"/>
  <c r="U133" i="3"/>
  <c r="V133" i="3" s="1"/>
  <c r="I79" i="13" l="1"/>
  <c r="E75" i="12"/>
  <c r="F79" i="13"/>
  <c r="V164" i="13"/>
  <c r="W164" i="13" s="1"/>
  <c r="X164" i="13" s="1"/>
  <c r="T164" i="13"/>
  <c r="U164" i="13" s="1"/>
  <c r="Q166" i="13"/>
  <c r="K166" i="13"/>
  <c r="O166" i="13"/>
  <c r="J166" i="13"/>
  <c r="B166" i="13"/>
  <c r="H166" i="13" s="1"/>
  <c r="C165" i="13"/>
  <c r="D165" i="13" s="1"/>
  <c r="N166" i="13"/>
  <c r="I166" i="13"/>
  <c r="F165" i="13"/>
  <c r="R166" i="13"/>
  <c r="M166" i="13"/>
  <c r="E165" i="13"/>
  <c r="G164" i="13"/>
  <c r="S165" i="13"/>
  <c r="P62" i="3"/>
  <c r="Q57" i="10" s="1"/>
  <c r="G132" i="3"/>
  <c r="H132" i="3" s="1"/>
  <c r="G133" i="3"/>
  <c r="H133" i="3" s="1"/>
  <c r="Q160" i="3"/>
  <c r="P160" i="3"/>
  <c r="N160" i="3"/>
  <c r="M160" i="3"/>
  <c r="A160" i="3"/>
  <c r="B160" i="3" s="1"/>
  <c r="C160" i="3" s="1"/>
  <c r="F158" i="3"/>
  <c r="E158" i="3" s="1"/>
  <c r="K133" i="3"/>
  <c r="Y11" i="3" s="1"/>
  <c r="Z11" i="3" s="1"/>
  <c r="W133" i="3"/>
  <c r="R131" i="3"/>
  <c r="L136" i="3"/>
  <c r="I136" i="3"/>
  <c r="J136" i="3"/>
  <c r="R130" i="3"/>
  <c r="D135" i="3"/>
  <c r="S166" i="13" l="1"/>
  <c r="D75" i="12"/>
  <c r="S79" i="13"/>
  <c r="V165" i="13"/>
  <c r="W165" i="13" s="1"/>
  <c r="X165" i="13" s="1"/>
  <c r="T165" i="13"/>
  <c r="U165" i="13" s="1"/>
  <c r="O167" i="13"/>
  <c r="J167" i="13"/>
  <c r="B167" i="13"/>
  <c r="C166" i="13"/>
  <c r="D166" i="13" s="1"/>
  <c r="N167" i="13"/>
  <c r="I167" i="13"/>
  <c r="F166" i="13"/>
  <c r="R167" i="13"/>
  <c r="M167" i="13"/>
  <c r="E166" i="13"/>
  <c r="Q167" i="13"/>
  <c r="K167" i="13"/>
  <c r="G165" i="13"/>
  <c r="F57" i="10"/>
  <c r="Q161" i="3"/>
  <c r="P161" i="3"/>
  <c r="M161" i="3"/>
  <c r="N161" i="3"/>
  <c r="A161" i="3"/>
  <c r="B161" i="3" s="1"/>
  <c r="C161" i="3" s="1"/>
  <c r="F159" i="3"/>
  <c r="E159" i="3" s="1"/>
  <c r="R132" i="3"/>
  <c r="J137" i="3"/>
  <c r="L137" i="3"/>
  <c r="I137" i="3"/>
  <c r="S134" i="3"/>
  <c r="T134" i="3" s="1"/>
  <c r="U134" i="3"/>
  <c r="V134" i="3" s="1"/>
  <c r="D136" i="3"/>
  <c r="F76" i="12" l="1"/>
  <c r="T166" i="13"/>
  <c r="U166" i="13" s="1"/>
  <c r="V166" i="13"/>
  <c r="W166" i="13" s="1"/>
  <c r="X166" i="13" s="1"/>
  <c r="N168" i="13"/>
  <c r="I168" i="13"/>
  <c r="F167" i="13"/>
  <c r="R168" i="13"/>
  <c r="M168" i="13"/>
  <c r="E167" i="13"/>
  <c r="Q168" i="13"/>
  <c r="K168" i="13"/>
  <c r="O168" i="13"/>
  <c r="J168" i="13"/>
  <c r="B168" i="13"/>
  <c r="H168" i="13" s="1"/>
  <c r="C167" i="13"/>
  <c r="D167" i="13" s="1"/>
  <c r="G166" i="13"/>
  <c r="H167" i="13"/>
  <c r="S167" i="13"/>
  <c r="E57" i="10"/>
  <c r="Q62" i="3"/>
  <c r="R57" i="10" s="1"/>
  <c r="H62" i="3"/>
  <c r="E62" i="3"/>
  <c r="Q162" i="3"/>
  <c r="P162" i="3"/>
  <c r="N162" i="3"/>
  <c r="M162" i="3"/>
  <c r="A162" i="3"/>
  <c r="B162" i="3" s="1"/>
  <c r="C162" i="3" s="1"/>
  <c r="F160" i="3"/>
  <c r="E160" i="3" s="1"/>
  <c r="G134" i="3"/>
  <c r="H134" i="3" s="1"/>
  <c r="W134" i="3"/>
  <c r="L138" i="3"/>
  <c r="I138" i="3"/>
  <c r="J138" i="3"/>
  <c r="U135" i="3"/>
  <c r="V135" i="3" s="1"/>
  <c r="W135" i="3" s="1"/>
  <c r="S135" i="3"/>
  <c r="T135" i="3" s="1"/>
  <c r="U136" i="3"/>
  <c r="V136" i="3" s="1"/>
  <c r="D137" i="3"/>
  <c r="S168" i="13" l="1"/>
  <c r="I80" i="13"/>
  <c r="E76" i="12"/>
  <c r="F80" i="13"/>
  <c r="T167" i="13"/>
  <c r="U167" i="13" s="1"/>
  <c r="V167" i="13"/>
  <c r="W167" i="13" s="1"/>
  <c r="X167" i="13" s="1"/>
  <c r="Q169" i="13"/>
  <c r="E168" i="13"/>
  <c r="O169" i="13"/>
  <c r="N169" i="13"/>
  <c r="J169" i="13"/>
  <c r="B169" i="13"/>
  <c r="H169" i="13" s="1"/>
  <c r="C168" i="13"/>
  <c r="D168" i="13" s="1"/>
  <c r="R169" i="13"/>
  <c r="M169" i="13"/>
  <c r="I169" i="13"/>
  <c r="F168" i="13"/>
  <c r="K169" i="13"/>
  <c r="L169" i="13"/>
  <c r="G167" i="13"/>
  <c r="D57" i="10"/>
  <c r="R62" i="3"/>
  <c r="P163" i="3"/>
  <c r="Q163" i="3"/>
  <c r="N163" i="3"/>
  <c r="M163" i="3"/>
  <c r="A163" i="3"/>
  <c r="B163" i="3" s="1"/>
  <c r="C163" i="3" s="1"/>
  <c r="F161" i="3"/>
  <c r="E161" i="3" s="1"/>
  <c r="G135" i="3"/>
  <c r="H135" i="3" s="1"/>
  <c r="R133" i="3"/>
  <c r="J139" i="3"/>
  <c r="L139" i="3"/>
  <c r="I139" i="3"/>
  <c r="S136" i="3"/>
  <c r="T136" i="3" s="1"/>
  <c r="D138" i="3"/>
  <c r="U137" i="3"/>
  <c r="V137" i="3" s="1"/>
  <c r="S137" i="3"/>
  <c r="T137" i="3" s="1"/>
  <c r="S80" i="13" l="1"/>
  <c r="D76" i="12"/>
  <c r="V168" i="13"/>
  <c r="W168" i="13" s="1"/>
  <c r="X168" i="13" s="1"/>
  <c r="T168" i="13"/>
  <c r="U168" i="13" s="1"/>
  <c r="S169" i="13"/>
  <c r="N170" i="13"/>
  <c r="I170" i="13"/>
  <c r="R170" i="13"/>
  <c r="M170" i="13"/>
  <c r="Q170" i="13"/>
  <c r="K170" i="13"/>
  <c r="O170" i="13"/>
  <c r="J170" i="13"/>
  <c r="B170" i="13"/>
  <c r="H170" i="13" s="1"/>
  <c r="C169" i="13"/>
  <c r="D169" i="13" s="1"/>
  <c r="F169" i="13"/>
  <c r="E169" i="13"/>
  <c r="G168" i="13"/>
  <c r="F58" i="10"/>
  <c r="Q164" i="3"/>
  <c r="P164" i="3"/>
  <c r="N164" i="3"/>
  <c r="M164" i="3"/>
  <c r="G137" i="3"/>
  <c r="H137" i="3" s="1"/>
  <c r="G136" i="3"/>
  <c r="H136" i="3" s="1"/>
  <c r="A164" i="3"/>
  <c r="B164" i="3" s="1"/>
  <c r="C164" i="3" s="1"/>
  <c r="F162" i="3"/>
  <c r="E162" i="3" s="1"/>
  <c r="W137" i="3"/>
  <c r="W136" i="3"/>
  <c r="L140" i="3"/>
  <c r="I140" i="3"/>
  <c r="J140" i="3"/>
  <c r="R134" i="3"/>
  <c r="S138" i="3"/>
  <c r="T138" i="3" s="1"/>
  <c r="D139" i="3"/>
  <c r="F77" i="12" l="1"/>
  <c r="V169" i="13"/>
  <c r="W169" i="13" s="1"/>
  <c r="X169" i="13" s="1"/>
  <c r="T169" i="13"/>
  <c r="U169" i="13" s="1"/>
  <c r="R171" i="13"/>
  <c r="M171" i="13"/>
  <c r="E170" i="13"/>
  <c r="Q171" i="13"/>
  <c r="K171" i="13"/>
  <c r="O171" i="13"/>
  <c r="J171" i="13"/>
  <c r="B171" i="13"/>
  <c r="C170" i="13"/>
  <c r="D170" i="13" s="1"/>
  <c r="N171" i="13"/>
  <c r="I171" i="13"/>
  <c r="F170" i="13"/>
  <c r="G169" i="13"/>
  <c r="S170" i="13"/>
  <c r="E58" i="10"/>
  <c r="E63" i="3"/>
  <c r="H63" i="3"/>
  <c r="Q165" i="3"/>
  <c r="M165" i="3"/>
  <c r="P165" i="3"/>
  <c r="N165" i="3"/>
  <c r="A165" i="3"/>
  <c r="B165" i="3" s="1"/>
  <c r="C165" i="3" s="1"/>
  <c r="F163" i="3"/>
  <c r="E163" i="3" s="1"/>
  <c r="R135" i="3"/>
  <c r="J141" i="3"/>
  <c r="L141" i="3"/>
  <c r="I141" i="3"/>
  <c r="U138" i="3"/>
  <c r="V138" i="3" s="1"/>
  <c r="D140" i="3"/>
  <c r="I81" i="13" l="1"/>
  <c r="E77" i="12"/>
  <c r="F81" i="13"/>
  <c r="Q172" i="13"/>
  <c r="K172" i="13"/>
  <c r="O172" i="13"/>
  <c r="J172" i="13"/>
  <c r="B172" i="13"/>
  <c r="H172" i="13" s="1"/>
  <c r="C171" i="13"/>
  <c r="D171" i="13" s="1"/>
  <c r="N172" i="13"/>
  <c r="I172" i="13"/>
  <c r="F171" i="13"/>
  <c r="R172" i="13"/>
  <c r="M172" i="13"/>
  <c r="E171" i="13"/>
  <c r="G170" i="13"/>
  <c r="S171" i="13"/>
  <c r="V170" i="13"/>
  <c r="W170" i="13" s="1"/>
  <c r="X170" i="13" s="1"/>
  <c r="T170" i="13"/>
  <c r="U170" i="13" s="1"/>
  <c r="H171" i="13"/>
  <c r="D58" i="10"/>
  <c r="R63" i="3"/>
  <c r="Q166" i="3"/>
  <c r="P166" i="3"/>
  <c r="N166" i="3"/>
  <c r="M166" i="3"/>
  <c r="A166" i="3"/>
  <c r="B166" i="3" s="1"/>
  <c r="C166" i="3" s="1"/>
  <c r="F164" i="3"/>
  <c r="E164" i="3" s="1"/>
  <c r="G138" i="3"/>
  <c r="H138" i="3" s="1"/>
  <c r="W138" i="3"/>
  <c r="L142" i="3"/>
  <c r="I142" i="3"/>
  <c r="J142" i="3"/>
  <c r="R137" i="3"/>
  <c r="R136" i="3"/>
  <c r="U139" i="3"/>
  <c r="V139" i="3" s="1"/>
  <c r="W139" i="3" s="1"/>
  <c r="S139" i="3"/>
  <c r="T139" i="3" s="1"/>
  <c r="D141" i="3"/>
  <c r="S81" i="13" l="1"/>
  <c r="D77" i="12"/>
  <c r="V171" i="13"/>
  <c r="W171" i="13" s="1"/>
  <c r="X171" i="13" s="1"/>
  <c r="T171" i="13"/>
  <c r="U171" i="13" s="1"/>
  <c r="O173" i="13"/>
  <c r="J173" i="13"/>
  <c r="B173" i="13"/>
  <c r="C172" i="13"/>
  <c r="D172" i="13" s="1"/>
  <c r="N173" i="13"/>
  <c r="I173" i="13"/>
  <c r="F172" i="13"/>
  <c r="R173" i="13"/>
  <c r="M173" i="13"/>
  <c r="E172" i="13"/>
  <c r="Q173" i="13"/>
  <c r="K173" i="13"/>
  <c r="G171" i="13"/>
  <c r="S172" i="13"/>
  <c r="F59" i="10"/>
  <c r="Q167" i="3"/>
  <c r="P167" i="3"/>
  <c r="N167" i="3"/>
  <c r="M167" i="3"/>
  <c r="A167" i="3"/>
  <c r="B167" i="3" s="1"/>
  <c r="C167" i="3" s="1"/>
  <c r="F165" i="3"/>
  <c r="E165" i="3" s="1"/>
  <c r="G139" i="3"/>
  <c r="H139" i="3" s="1"/>
  <c r="J143" i="3"/>
  <c r="L143" i="3"/>
  <c r="I143" i="3"/>
  <c r="U140" i="3"/>
  <c r="V140" i="3" s="1"/>
  <c r="S140" i="3"/>
  <c r="T140" i="3" s="1"/>
  <c r="S141" i="3"/>
  <c r="T141" i="3" s="1"/>
  <c r="D142" i="3"/>
  <c r="F78" i="12" l="1"/>
  <c r="T172" i="13"/>
  <c r="U172" i="13" s="1"/>
  <c r="V172" i="13"/>
  <c r="W172" i="13" s="1"/>
  <c r="X172" i="13" s="1"/>
  <c r="N174" i="13"/>
  <c r="I174" i="13"/>
  <c r="F173" i="13"/>
  <c r="R174" i="13"/>
  <c r="M174" i="13"/>
  <c r="E173" i="13"/>
  <c r="Q174" i="13"/>
  <c r="K174" i="13"/>
  <c r="O174" i="13"/>
  <c r="J174" i="13"/>
  <c r="B174" i="13"/>
  <c r="C173" i="13"/>
  <c r="D173" i="13" s="1"/>
  <c r="G172" i="13"/>
  <c r="H173" i="13"/>
  <c r="S173" i="13"/>
  <c r="E59" i="10"/>
  <c r="E64" i="3"/>
  <c r="H64" i="3"/>
  <c r="Q168" i="3"/>
  <c r="P168" i="3"/>
  <c r="N168" i="3"/>
  <c r="M168" i="3"/>
  <c r="A168" i="3"/>
  <c r="F166" i="3"/>
  <c r="E166" i="3" s="1"/>
  <c r="G140" i="3"/>
  <c r="H140" i="3" s="1"/>
  <c r="W140" i="3"/>
  <c r="R138" i="3"/>
  <c r="L144" i="3"/>
  <c r="I144" i="3"/>
  <c r="J144" i="3"/>
  <c r="U141" i="3"/>
  <c r="V141" i="3" s="1"/>
  <c r="S142" i="3"/>
  <c r="T142" i="3" s="1"/>
  <c r="U142" i="3"/>
  <c r="V142" i="3" s="1"/>
  <c r="D143" i="3"/>
  <c r="I82" i="13" l="1"/>
  <c r="E78" i="12"/>
  <c r="F82" i="13"/>
  <c r="R175" i="13"/>
  <c r="M175" i="13"/>
  <c r="E174" i="13"/>
  <c r="Q175" i="13"/>
  <c r="K175" i="13"/>
  <c r="O175" i="13"/>
  <c r="J175" i="13"/>
  <c r="B175" i="13"/>
  <c r="H175" i="13" s="1"/>
  <c r="C174" i="13"/>
  <c r="D174" i="13" s="1"/>
  <c r="N175" i="13"/>
  <c r="I175" i="13"/>
  <c r="F174" i="13"/>
  <c r="G173" i="13"/>
  <c r="T173" i="13"/>
  <c r="U173" i="13" s="1"/>
  <c r="V173" i="13"/>
  <c r="W173" i="13" s="1"/>
  <c r="X173" i="13" s="1"/>
  <c r="H174" i="13"/>
  <c r="S174" i="13"/>
  <c r="D59" i="10"/>
  <c r="R64" i="3"/>
  <c r="J169" i="3"/>
  <c r="B168" i="3"/>
  <c r="C168" i="3" s="1"/>
  <c r="J145" i="3"/>
  <c r="Q169" i="3"/>
  <c r="P169" i="3"/>
  <c r="M169" i="3"/>
  <c r="N169" i="3"/>
  <c r="A169" i="3"/>
  <c r="B169" i="3" s="1"/>
  <c r="C169" i="3" s="1"/>
  <c r="F167" i="3"/>
  <c r="E167" i="3" s="1"/>
  <c r="G142" i="3"/>
  <c r="H142" i="3" s="1"/>
  <c r="G141" i="3"/>
  <c r="H141" i="3" s="1"/>
  <c r="R139" i="3"/>
  <c r="W142" i="3"/>
  <c r="W141" i="3"/>
  <c r="L145" i="3"/>
  <c r="I145" i="3"/>
  <c r="U143" i="3"/>
  <c r="V143" i="3" s="1"/>
  <c r="S143" i="3"/>
  <c r="T143" i="3" s="1"/>
  <c r="G143" i="3" s="1"/>
  <c r="H143" i="3" s="1"/>
  <c r="D144" i="3"/>
  <c r="S175" i="13" l="1"/>
  <c r="D78" i="12"/>
  <c r="S82" i="13"/>
  <c r="V174" i="13"/>
  <c r="W174" i="13" s="1"/>
  <c r="X174" i="13" s="1"/>
  <c r="T174" i="13"/>
  <c r="U174" i="13" s="1"/>
  <c r="Q176" i="13"/>
  <c r="K176" i="13"/>
  <c r="O176" i="13"/>
  <c r="J176" i="13"/>
  <c r="B176" i="13"/>
  <c r="C175" i="13"/>
  <c r="D175" i="13" s="1"/>
  <c r="N176" i="13"/>
  <c r="I176" i="13"/>
  <c r="F175" i="13"/>
  <c r="R176" i="13"/>
  <c r="M176" i="13"/>
  <c r="E175" i="13"/>
  <c r="G174" i="13"/>
  <c r="F60" i="10"/>
  <c r="Q170" i="3"/>
  <c r="P170" i="3"/>
  <c r="N170" i="3"/>
  <c r="M170" i="3"/>
  <c r="A170" i="3"/>
  <c r="B170" i="3" s="1"/>
  <c r="C170" i="3" s="1"/>
  <c r="F168" i="3"/>
  <c r="E168" i="3" s="1"/>
  <c r="R140" i="3"/>
  <c r="W143" i="3"/>
  <c r="L146" i="3"/>
  <c r="I146" i="3"/>
  <c r="J146" i="3"/>
  <c r="U144" i="3"/>
  <c r="V144" i="3" s="1"/>
  <c r="S144" i="3"/>
  <c r="T144" i="3" s="1"/>
  <c r="D145" i="3"/>
  <c r="F79" i="12" l="1"/>
  <c r="O177" i="13"/>
  <c r="J177" i="13"/>
  <c r="B177" i="13"/>
  <c r="C176" i="13"/>
  <c r="D176" i="13" s="1"/>
  <c r="N177" i="13"/>
  <c r="I177" i="13"/>
  <c r="F176" i="13"/>
  <c r="R177" i="13"/>
  <c r="M177" i="13"/>
  <c r="E176" i="13"/>
  <c r="Q177" i="13"/>
  <c r="K177" i="13"/>
  <c r="G175" i="13"/>
  <c r="H176" i="13"/>
  <c r="S176" i="13"/>
  <c r="V175" i="13"/>
  <c r="W175" i="13" s="1"/>
  <c r="X175" i="13" s="1"/>
  <c r="T175" i="13"/>
  <c r="U175" i="13" s="1"/>
  <c r="E60" i="10"/>
  <c r="E65" i="3"/>
  <c r="H65" i="3"/>
  <c r="P171" i="3"/>
  <c r="N171" i="3"/>
  <c r="Q171" i="3"/>
  <c r="M171" i="3"/>
  <c r="A171" i="3"/>
  <c r="B171" i="3" s="1"/>
  <c r="C171" i="3" s="1"/>
  <c r="F169" i="3"/>
  <c r="E169" i="3" s="1"/>
  <c r="G144" i="3"/>
  <c r="H144" i="3" s="1"/>
  <c r="P145" i="3" s="1"/>
  <c r="W144" i="3"/>
  <c r="J147" i="3"/>
  <c r="L147" i="3"/>
  <c r="I147" i="3"/>
  <c r="R142" i="3"/>
  <c r="R141" i="3"/>
  <c r="S145" i="3"/>
  <c r="T145" i="3" s="1"/>
  <c r="U145" i="3"/>
  <c r="V145" i="3" s="1"/>
  <c r="D146" i="3"/>
  <c r="E79" i="12" l="1"/>
  <c r="I83" i="13"/>
  <c r="F83" i="13"/>
  <c r="N178" i="13"/>
  <c r="I178" i="13"/>
  <c r="F177" i="13"/>
  <c r="R178" i="13"/>
  <c r="M178" i="13"/>
  <c r="E177" i="13"/>
  <c r="Q178" i="13"/>
  <c r="K178" i="13"/>
  <c r="O178" i="13"/>
  <c r="J178" i="13"/>
  <c r="B178" i="13"/>
  <c r="H178" i="13" s="1"/>
  <c r="C177" i="13"/>
  <c r="D177" i="13" s="1"/>
  <c r="G176" i="13"/>
  <c r="H177" i="13"/>
  <c r="S177" i="13"/>
  <c r="T176" i="13"/>
  <c r="U176" i="13" s="1"/>
  <c r="V176" i="13"/>
  <c r="W176" i="13" s="1"/>
  <c r="X176" i="13" s="1"/>
  <c r="D60" i="10"/>
  <c r="R65" i="3"/>
  <c r="G145" i="3"/>
  <c r="H145" i="3" s="1"/>
  <c r="Q172" i="3"/>
  <c r="P172" i="3"/>
  <c r="N172" i="3"/>
  <c r="M172" i="3"/>
  <c r="A172" i="3"/>
  <c r="B172" i="3" s="1"/>
  <c r="C172" i="3" s="1"/>
  <c r="F170" i="3"/>
  <c r="E170" i="3" s="1"/>
  <c r="K145" i="3"/>
  <c r="Y12" i="3" s="1"/>
  <c r="Z12" i="3" s="1"/>
  <c r="W145" i="3"/>
  <c r="L148" i="3"/>
  <c r="I148" i="3"/>
  <c r="J148" i="3"/>
  <c r="R143" i="3"/>
  <c r="D147" i="3"/>
  <c r="F84" i="13" l="1"/>
  <c r="I84" i="13"/>
  <c r="I85" i="13" s="1"/>
  <c r="E80" i="12"/>
  <c r="E81" i="12"/>
  <c r="D79" i="12"/>
  <c r="S83" i="13"/>
  <c r="T177" i="13"/>
  <c r="U177" i="13" s="1"/>
  <c r="V177" i="13"/>
  <c r="W177" i="13" s="1"/>
  <c r="X177" i="13" s="1"/>
  <c r="S178" i="13"/>
  <c r="R179" i="13"/>
  <c r="M179" i="13"/>
  <c r="E178" i="13"/>
  <c r="Q179" i="13"/>
  <c r="K179" i="13"/>
  <c r="O179" i="13"/>
  <c r="J179" i="13"/>
  <c r="B179" i="13"/>
  <c r="H179" i="13" s="1"/>
  <c r="C178" i="13"/>
  <c r="D178" i="13" s="1"/>
  <c r="N179" i="13"/>
  <c r="I179" i="13"/>
  <c r="F178" i="13"/>
  <c r="G177" i="13"/>
  <c r="F61" i="10"/>
  <c r="Q173" i="3"/>
  <c r="M173" i="3"/>
  <c r="P173" i="3"/>
  <c r="N173" i="3"/>
  <c r="Q145" i="3"/>
  <c r="A173" i="3"/>
  <c r="B173" i="3" s="1"/>
  <c r="C173" i="3" s="1"/>
  <c r="F171" i="3"/>
  <c r="E171" i="3" s="1"/>
  <c r="J149" i="3"/>
  <c r="L149" i="3"/>
  <c r="I149" i="3"/>
  <c r="R144" i="3"/>
  <c r="S146" i="3"/>
  <c r="T146" i="3" s="1"/>
  <c r="U146" i="3"/>
  <c r="V146" i="3" s="1"/>
  <c r="W146" i="3" s="1"/>
  <c r="S147" i="3"/>
  <c r="T147" i="3" s="1"/>
  <c r="D148" i="3"/>
  <c r="S179" i="13" l="1"/>
  <c r="S84" i="13"/>
  <c r="D80" i="12"/>
  <c r="Q85" i="13"/>
  <c r="Q81" i="12" s="1"/>
  <c r="F80" i="12"/>
  <c r="V178" i="13"/>
  <c r="W178" i="13" s="1"/>
  <c r="X178" i="13" s="1"/>
  <c r="T178" i="13"/>
  <c r="U178" i="13" s="1"/>
  <c r="Q180" i="13"/>
  <c r="K180" i="13"/>
  <c r="O180" i="13"/>
  <c r="J180" i="13"/>
  <c r="B180" i="13"/>
  <c r="H180" i="13" s="1"/>
  <c r="C179" i="13"/>
  <c r="D179" i="13" s="1"/>
  <c r="N180" i="13"/>
  <c r="I180" i="13"/>
  <c r="F179" i="13"/>
  <c r="R180" i="13"/>
  <c r="M180" i="13"/>
  <c r="E179" i="13"/>
  <c r="G178" i="13"/>
  <c r="E61" i="10"/>
  <c r="E66" i="3"/>
  <c r="H66" i="3"/>
  <c r="Q174" i="3"/>
  <c r="P174" i="3"/>
  <c r="N174" i="3"/>
  <c r="M174" i="3"/>
  <c r="A174" i="3"/>
  <c r="B174" i="3" s="1"/>
  <c r="C174" i="3" s="1"/>
  <c r="F172" i="3"/>
  <c r="E172" i="3" s="1"/>
  <c r="G146" i="3"/>
  <c r="H146" i="3" s="1"/>
  <c r="L150" i="3"/>
  <c r="I150" i="3"/>
  <c r="J150" i="3"/>
  <c r="R145" i="3"/>
  <c r="U147" i="3"/>
  <c r="V147" i="3" s="1"/>
  <c r="D149" i="3"/>
  <c r="S180" i="13" l="1"/>
  <c r="D81" i="12"/>
  <c r="F81" i="12"/>
  <c r="R85" i="13"/>
  <c r="V179" i="13"/>
  <c r="W179" i="13" s="1"/>
  <c r="X179" i="13" s="1"/>
  <c r="T179" i="13"/>
  <c r="U179" i="13" s="1"/>
  <c r="N181" i="13"/>
  <c r="J181" i="13"/>
  <c r="B181" i="13"/>
  <c r="C180" i="13"/>
  <c r="D180" i="13" s="1"/>
  <c r="R181" i="13"/>
  <c r="M181" i="13"/>
  <c r="I181" i="13"/>
  <c r="F180" i="13"/>
  <c r="Q181" i="13"/>
  <c r="E180" i="13"/>
  <c r="O181" i="13"/>
  <c r="L181" i="13"/>
  <c r="K181" i="13"/>
  <c r="G179" i="13"/>
  <c r="D61" i="10"/>
  <c r="R66" i="3"/>
  <c r="Q175" i="3"/>
  <c r="P175" i="3"/>
  <c r="N175" i="3"/>
  <c r="M175" i="3"/>
  <c r="A175" i="3"/>
  <c r="B175" i="3" s="1"/>
  <c r="C175" i="3" s="1"/>
  <c r="F173" i="3"/>
  <c r="E173" i="3" s="1"/>
  <c r="G147" i="3"/>
  <c r="H147" i="3" s="1"/>
  <c r="W147" i="3"/>
  <c r="J151" i="3"/>
  <c r="L151" i="3"/>
  <c r="I151" i="3"/>
  <c r="R146" i="3"/>
  <c r="U148" i="3"/>
  <c r="V148" i="3" s="1"/>
  <c r="W148" i="3" s="1"/>
  <c r="S148" i="3"/>
  <c r="T148" i="3" s="1"/>
  <c r="D150" i="3"/>
  <c r="S85" i="13" l="1"/>
  <c r="R81" i="12"/>
  <c r="H9" i="12" s="1"/>
  <c r="T180" i="13"/>
  <c r="U180" i="13" s="1"/>
  <c r="V180" i="13"/>
  <c r="W180" i="13" s="1"/>
  <c r="X180" i="13" s="1"/>
  <c r="S181" i="13"/>
  <c r="R182" i="13"/>
  <c r="M182" i="13"/>
  <c r="F181" i="13"/>
  <c r="Q182" i="13"/>
  <c r="K182" i="13"/>
  <c r="E181" i="13"/>
  <c r="O182" i="13"/>
  <c r="J182" i="13"/>
  <c r="B182" i="13"/>
  <c r="N182" i="13"/>
  <c r="I182" i="13"/>
  <c r="C181" i="13"/>
  <c r="D181" i="13" s="1"/>
  <c r="G180" i="13"/>
  <c r="H181" i="13"/>
  <c r="F62" i="10"/>
  <c r="Q176" i="3"/>
  <c r="P176" i="3"/>
  <c r="N176" i="3"/>
  <c r="M176" i="3"/>
  <c r="A176" i="3"/>
  <c r="B176" i="3" s="1"/>
  <c r="C176" i="3" s="1"/>
  <c r="F174" i="3"/>
  <c r="E174" i="3" s="1"/>
  <c r="G148" i="3"/>
  <c r="H148" i="3" s="1"/>
  <c r="P149" i="3" s="1"/>
  <c r="L152" i="3"/>
  <c r="I152" i="3"/>
  <c r="J152" i="3"/>
  <c r="S149" i="3"/>
  <c r="T149" i="3" s="1"/>
  <c r="U149" i="3"/>
  <c r="V149" i="3" s="1"/>
  <c r="W149" i="3" s="1"/>
  <c r="D151" i="3"/>
  <c r="Q183" i="13" l="1"/>
  <c r="K183" i="13"/>
  <c r="O183" i="13"/>
  <c r="J183" i="13"/>
  <c r="B183" i="13"/>
  <c r="H183" i="13" s="1"/>
  <c r="C182" i="13"/>
  <c r="D182" i="13" s="1"/>
  <c r="N183" i="13"/>
  <c r="I183" i="13"/>
  <c r="F182" i="13"/>
  <c r="R183" i="13"/>
  <c r="M183" i="13"/>
  <c r="E182" i="13"/>
  <c r="G181" i="13"/>
  <c r="H182" i="13"/>
  <c r="V181" i="13"/>
  <c r="W181" i="13" s="1"/>
  <c r="X181" i="13" s="1"/>
  <c r="T181" i="13"/>
  <c r="U181" i="13" s="1"/>
  <c r="S182" i="13"/>
  <c r="E62" i="10"/>
  <c r="E67" i="3"/>
  <c r="H67" i="3"/>
  <c r="Q177" i="3"/>
  <c r="P177" i="3"/>
  <c r="M177" i="3"/>
  <c r="N177" i="3"/>
  <c r="A177" i="3"/>
  <c r="B177" i="3" s="1"/>
  <c r="C177" i="3" s="1"/>
  <c r="F175" i="3"/>
  <c r="E175" i="3" s="1"/>
  <c r="G149" i="3"/>
  <c r="J153" i="3"/>
  <c r="L153" i="3"/>
  <c r="I153" i="3"/>
  <c r="R148" i="3"/>
  <c r="R147" i="3"/>
  <c r="S150" i="3"/>
  <c r="T150" i="3" s="1"/>
  <c r="U150" i="3"/>
  <c r="V150" i="3" s="1"/>
  <c r="W150" i="3" s="1"/>
  <c r="D152" i="3"/>
  <c r="S151" i="3"/>
  <c r="T151" i="3" s="1"/>
  <c r="U151" i="3"/>
  <c r="V151" i="3" s="1"/>
  <c r="V182" i="13" l="1"/>
  <c r="W182" i="13" s="1"/>
  <c r="X182" i="13" s="1"/>
  <c r="T182" i="13"/>
  <c r="U182" i="13" s="1"/>
  <c r="O184" i="13"/>
  <c r="J184" i="13"/>
  <c r="B184" i="13"/>
  <c r="C183" i="13"/>
  <c r="D183" i="13" s="1"/>
  <c r="N184" i="13"/>
  <c r="I184" i="13"/>
  <c r="F183" i="13"/>
  <c r="R184" i="13"/>
  <c r="M184" i="13"/>
  <c r="E183" i="13"/>
  <c r="Q184" i="13"/>
  <c r="K184" i="13"/>
  <c r="G182" i="13"/>
  <c r="S183" i="13"/>
  <c r="D62" i="10"/>
  <c r="R67" i="3"/>
  <c r="H149" i="3"/>
  <c r="P150" i="3" s="1"/>
  <c r="Q149" i="3"/>
  <c r="Q178" i="3"/>
  <c r="P178" i="3"/>
  <c r="N178" i="3"/>
  <c r="M178" i="3"/>
  <c r="A178" i="3"/>
  <c r="B178" i="3" s="1"/>
  <c r="C178" i="3" s="1"/>
  <c r="F176" i="3"/>
  <c r="E176" i="3" s="1"/>
  <c r="G150" i="3"/>
  <c r="G151" i="3"/>
  <c r="H151" i="3" s="1"/>
  <c r="W151" i="3"/>
  <c r="L154" i="3"/>
  <c r="I154" i="3"/>
  <c r="J154" i="3"/>
  <c r="U152" i="3"/>
  <c r="V152" i="3" s="1"/>
  <c r="D153" i="3"/>
  <c r="T183" i="13" l="1"/>
  <c r="U183" i="13" s="1"/>
  <c r="V183" i="13"/>
  <c r="W183" i="13" s="1"/>
  <c r="X183" i="13" s="1"/>
  <c r="N185" i="13"/>
  <c r="I185" i="13"/>
  <c r="F184" i="13"/>
  <c r="R185" i="13"/>
  <c r="M185" i="13"/>
  <c r="E184" i="13"/>
  <c r="Q185" i="13"/>
  <c r="K185" i="13"/>
  <c r="O185" i="13"/>
  <c r="J185" i="13"/>
  <c r="B185" i="13"/>
  <c r="C184" i="13"/>
  <c r="D184" i="13" s="1"/>
  <c r="G183" i="13"/>
  <c r="H184" i="13"/>
  <c r="S184" i="13"/>
  <c r="F63" i="10"/>
  <c r="H150" i="3"/>
  <c r="Q150" i="3"/>
  <c r="P179" i="3"/>
  <c r="Q179" i="3"/>
  <c r="N179" i="3"/>
  <c r="M179" i="3"/>
  <c r="A179" i="3"/>
  <c r="B179" i="3" s="1"/>
  <c r="C179" i="3" s="1"/>
  <c r="F177" i="3"/>
  <c r="E177" i="3" s="1"/>
  <c r="R149" i="3"/>
  <c r="J155" i="3"/>
  <c r="L155" i="3"/>
  <c r="I155" i="3"/>
  <c r="S152" i="3"/>
  <c r="T152" i="3" s="1"/>
  <c r="S153" i="3"/>
  <c r="T153" i="3" s="1"/>
  <c r="D154" i="3"/>
  <c r="R186" i="13" l="1"/>
  <c r="M186" i="13"/>
  <c r="E185" i="13"/>
  <c r="Q186" i="13"/>
  <c r="K186" i="13"/>
  <c r="O186" i="13"/>
  <c r="J186" i="13"/>
  <c r="B186" i="13"/>
  <c r="H186" i="13" s="1"/>
  <c r="C185" i="13"/>
  <c r="D185" i="13" s="1"/>
  <c r="N186" i="13"/>
  <c r="I186" i="13"/>
  <c r="F185" i="13"/>
  <c r="G184" i="13"/>
  <c r="T184" i="13"/>
  <c r="U184" i="13" s="1"/>
  <c r="V184" i="13"/>
  <c r="W184" i="13" s="1"/>
  <c r="X184" i="13" s="1"/>
  <c r="H185" i="13"/>
  <c r="S185" i="13"/>
  <c r="E63" i="10"/>
  <c r="E68" i="3"/>
  <c r="H68" i="3"/>
  <c r="R150" i="3"/>
  <c r="Q180" i="3"/>
  <c r="P180" i="3"/>
  <c r="N180" i="3"/>
  <c r="M180" i="3"/>
  <c r="A180" i="3"/>
  <c r="F178" i="3"/>
  <c r="E178" i="3" s="1"/>
  <c r="G152" i="3"/>
  <c r="H152" i="3" s="1"/>
  <c r="W152" i="3"/>
  <c r="L156" i="3"/>
  <c r="I156" i="3"/>
  <c r="J156" i="3"/>
  <c r="R151" i="3"/>
  <c r="U153" i="3"/>
  <c r="V153" i="3" s="1"/>
  <c r="D155" i="3"/>
  <c r="V185" i="13" l="1"/>
  <c r="W185" i="13" s="1"/>
  <c r="X185" i="13" s="1"/>
  <c r="T185" i="13"/>
  <c r="U185" i="13" s="1"/>
  <c r="Q187" i="13"/>
  <c r="K187" i="13"/>
  <c r="O187" i="13"/>
  <c r="J187" i="13"/>
  <c r="B187" i="13"/>
  <c r="H187" i="13" s="1"/>
  <c r="C186" i="13"/>
  <c r="D186" i="13" s="1"/>
  <c r="N187" i="13"/>
  <c r="I187" i="13"/>
  <c r="F186" i="13"/>
  <c r="R187" i="13"/>
  <c r="M187" i="13"/>
  <c r="E186" i="13"/>
  <c r="G185" i="13"/>
  <c r="S186" i="13"/>
  <c r="D63" i="10"/>
  <c r="R68" i="3"/>
  <c r="J181" i="3"/>
  <c r="B180" i="3"/>
  <c r="C180" i="3" s="1"/>
  <c r="Q181" i="3"/>
  <c r="M181" i="3"/>
  <c r="P181" i="3"/>
  <c r="N181" i="3"/>
  <c r="A181" i="3"/>
  <c r="B181" i="3" s="1"/>
  <c r="C181" i="3" s="1"/>
  <c r="F179" i="3"/>
  <c r="E179" i="3" s="1"/>
  <c r="G153" i="3"/>
  <c r="H153" i="3" s="1"/>
  <c r="W153" i="3"/>
  <c r="L157" i="3"/>
  <c r="I157" i="3"/>
  <c r="S154" i="3"/>
  <c r="T154" i="3" s="1"/>
  <c r="U154" i="3"/>
  <c r="V154" i="3" s="1"/>
  <c r="W154" i="3" s="1"/>
  <c r="D156" i="3"/>
  <c r="S187" i="13" l="1"/>
  <c r="V186" i="13"/>
  <c r="W186" i="13" s="1"/>
  <c r="X186" i="13" s="1"/>
  <c r="T186" i="13"/>
  <c r="U186" i="13" s="1"/>
  <c r="O188" i="13"/>
  <c r="J188" i="13"/>
  <c r="B188" i="13"/>
  <c r="C187" i="13"/>
  <c r="D187" i="13" s="1"/>
  <c r="N188" i="13"/>
  <c r="I188" i="13"/>
  <c r="F187" i="13"/>
  <c r="R188" i="13"/>
  <c r="M188" i="13"/>
  <c r="E187" i="13"/>
  <c r="Q188" i="13"/>
  <c r="K188" i="13"/>
  <c r="G186" i="13"/>
  <c r="F64" i="10"/>
  <c r="Q182" i="3"/>
  <c r="P182" i="3"/>
  <c r="N182" i="3"/>
  <c r="M182" i="3"/>
  <c r="A182" i="3"/>
  <c r="B182" i="3" s="1"/>
  <c r="C182" i="3" s="1"/>
  <c r="F180" i="3"/>
  <c r="E180" i="3" s="1"/>
  <c r="G154" i="3"/>
  <c r="H154" i="3" s="1"/>
  <c r="L158" i="3"/>
  <c r="I158" i="3"/>
  <c r="J158" i="3"/>
  <c r="R152" i="3"/>
  <c r="U155" i="3"/>
  <c r="V155" i="3" s="1"/>
  <c r="W155" i="3" s="1"/>
  <c r="S155" i="3"/>
  <c r="T155" i="3" s="1"/>
  <c r="D157" i="3"/>
  <c r="S188" i="13" l="1"/>
  <c r="T187" i="13"/>
  <c r="U187" i="13" s="1"/>
  <c r="V187" i="13"/>
  <c r="W187" i="13" s="1"/>
  <c r="X187" i="13" s="1"/>
  <c r="N189" i="13"/>
  <c r="I189" i="13"/>
  <c r="F188" i="13"/>
  <c r="R189" i="13"/>
  <c r="M189" i="13"/>
  <c r="E188" i="13"/>
  <c r="Q189" i="13"/>
  <c r="K189" i="13"/>
  <c r="O189" i="13"/>
  <c r="J189" i="13"/>
  <c r="B189" i="13"/>
  <c r="H189" i="13" s="1"/>
  <c r="C188" i="13"/>
  <c r="D188" i="13" s="1"/>
  <c r="G187" i="13"/>
  <c r="H188" i="13"/>
  <c r="E64" i="10"/>
  <c r="E69" i="3"/>
  <c r="H69" i="3"/>
  <c r="Q183" i="3"/>
  <c r="P183" i="3"/>
  <c r="N183" i="3"/>
  <c r="M183" i="3"/>
  <c r="A183" i="3"/>
  <c r="B183" i="3" s="1"/>
  <c r="C183" i="3" s="1"/>
  <c r="F181" i="3"/>
  <c r="E181" i="3" s="1"/>
  <c r="G155" i="3"/>
  <c r="H155" i="3" s="1"/>
  <c r="J159" i="3"/>
  <c r="L159" i="3"/>
  <c r="I159" i="3"/>
  <c r="R153" i="3"/>
  <c r="S156" i="3"/>
  <c r="T156" i="3" s="1"/>
  <c r="U156" i="3"/>
  <c r="V156" i="3" s="1"/>
  <c r="D158" i="3"/>
  <c r="R190" i="13" l="1"/>
  <c r="M190" i="13"/>
  <c r="E189" i="13"/>
  <c r="Q190" i="13"/>
  <c r="K190" i="13"/>
  <c r="O190" i="13"/>
  <c r="J190" i="13"/>
  <c r="B190" i="13"/>
  <c r="H190" i="13" s="1"/>
  <c r="C189" i="13"/>
  <c r="D189" i="13" s="1"/>
  <c r="N190" i="13"/>
  <c r="I190" i="13"/>
  <c r="F189" i="13"/>
  <c r="G188" i="13"/>
  <c r="T188" i="13"/>
  <c r="U188" i="13" s="1"/>
  <c r="V188" i="13"/>
  <c r="W188" i="13" s="1"/>
  <c r="X188" i="13" s="1"/>
  <c r="S189" i="13"/>
  <c r="D64" i="10"/>
  <c r="R69" i="3"/>
  <c r="G156" i="3"/>
  <c r="H156" i="3" s="1"/>
  <c r="Q184" i="3"/>
  <c r="P184" i="3"/>
  <c r="N184" i="3"/>
  <c r="M184" i="3"/>
  <c r="A184" i="3"/>
  <c r="B184" i="3" s="1"/>
  <c r="C184" i="3" s="1"/>
  <c r="F182" i="3"/>
  <c r="E182" i="3" s="1"/>
  <c r="K157" i="3"/>
  <c r="R154" i="3"/>
  <c r="W156" i="3"/>
  <c r="L160" i="3"/>
  <c r="I160" i="3"/>
  <c r="J160" i="3"/>
  <c r="R155" i="3"/>
  <c r="S157" i="3"/>
  <c r="T157" i="3" s="1"/>
  <c r="G157" i="3" s="1"/>
  <c r="H157" i="3" s="1"/>
  <c r="U157" i="3"/>
  <c r="V157" i="3" s="1"/>
  <c r="W157" i="3" s="1"/>
  <c r="D159" i="3"/>
  <c r="S190" i="13" l="1"/>
  <c r="V189" i="13"/>
  <c r="W189" i="13" s="1"/>
  <c r="X189" i="13" s="1"/>
  <c r="T189" i="13"/>
  <c r="U189" i="13" s="1"/>
  <c r="Q191" i="13"/>
  <c r="K191" i="13"/>
  <c r="O191" i="13"/>
  <c r="J191" i="13"/>
  <c r="B191" i="13"/>
  <c r="H191" i="13" s="1"/>
  <c r="C190" i="13"/>
  <c r="D190" i="13" s="1"/>
  <c r="N191" i="13"/>
  <c r="I191" i="13"/>
  <c r="F190" i="13"/>
  <c r="R191" i="13"/>
  <c r="M191" i="13"/>
  <c r="E190" i="13"/>
  <c r="G189" i="13"/>
  <c r="F65" i="10"/>
  <c r="Q185" i="3"/>
  <c r="P185" i="3"/>
  <c r="M185" i="3"/>
  <c r="N185" i="3"/>
  <c r="A185" i="3"/>
  <c r="B185" i="3" s="1"/>
  <c r="C185" i="3" s="1"/>
  <c r="F183" i="3"/>
  <c r="E183" i="3" s="1"/>
  <c r="Y13" i="3"/>
  <c r="Z13" i="3" s="1"/>
  <c r="J161" i="3"/>
  <c r="L161" i="3"/>
  <c r="I161" i="3"/>
  <c r="U158" i="3"/>
  <c r="V158" i="3" s="1"/>
  <c r="W158" i="3" s="1"/>
  <c r="S158" i="3"/>
  <c r="T158" i="3" s="1"/>
  <c r="U159" i="3"/>
  <c r="V159" i="3" s="1"/>
  <c r="S159" i="3"/>
  <c r="T159" i="3" s="1"/>
  <c r="D160" i="3"/>
  <c r="S191" i="13" l="1"/>
  <c r="V190" i="13"/>
  <c r="W190" i="13" s="1"/>
  <c r="X190" i="13" s="1"/>
  <c r="T190" i="13"/>
  <c r="U190" i="13" s="1"/>
  <c r="O192" i="13"/>
  <c r="J192" i="13"/>
  <c r="B192" i="13"/>
  <c r="C191" i="13"/>
  <c r="D191" i="13" s="1"/>
  <c r="N192" i="13"/>
  <c r="I192" i="13"/>
  <c r="F191" i="13"/>
  <c r="R192" i="13"/>
  <c r="M192" i="13"/>
  <c r="E191" i="13"/>
  <c r="Q192" i="13"/>
  <c r="K192" i="13"/>
  <c r="G190" i="13"/>
  <c r="E65" i="10"/>
  <c r="E70" i="3"/>
  <c r="H70" i="3"/>
  <c r="Q186" i="3"/>
  <c r="P186" i="3"/>
  <c r="N186" i="3"/>
  <c r="M186" i="3"/>
  <c r="A186" i="3"/>
  <c r="B186" i="3" s="1"/>
  <c r="C186" i="3" s="1"/>
  <c r="F184" i="3"/>
  <c r="E184" i="3" s="1"/>
  <c r="G159" i="3"/>
  <c r="H159" i="3" s="1"/>
  <c r="G158" i="3"/>
  <c r="H158" i="3" s="1"/>
  <c r="W159" i="3"/>
  <c r="L162" i="3"/>
  <c r="I162" i="3"/>
  <c r="J162" i="3"/>
  <c r="R156" i="3"/>
  <c r="D161" i="3"/>
  <c r="S192" i="13" l="1"/>
  <c r="T191" i="13"/>
  <c r="U191" i="13" s="1"/>
  <c r="V191" i="13"/>
  <c r="W191" i="13" s="1"/>
  <c r="X191" i="13" s="1"/>
  <c r="R193" i="13"/>
  <c r="M193" i="13"/>
  <c r="I193" i="13"/>
  <c r="F192" i="13"/>
  <c r="Q193" i="13"/>
  <c r="E192" i="13"/>
  <c r="O193" i="13"/>
  <c r="N193" i="13"/>
  <c r="J193" i="13"/>
  <c r="B193" i="13"/>
  <c r="H193" i="13" s="1"/>
  <c r="C192" i="13"/>
  <c r="D192" i="13" s="1"/>
  <c r="K193" i="13"/>
  <c r="L193" i="13"/>
  <c r="G191" i="13"/>
  <c r="H192" i="13"/>
  <c r="D65" i="10"/>
  <c r="R70" i="3"/>
  <c r="P187" i="3"/>
  <c r="N187" i="3"/>
  <c r="Q187" i="3"/>
  <c r="M187" i="3"/>
  <c r="A187" i="3"/>
  <c r="B187" i="3" s="1"/>
  <c r="C187" i="3" s="1"/>
  <c r="F185" i="3"/>
  <c r="E185" i="3" s="1"/>
  <c r="R157" i="3"/>
  <c r="J163" i="3"/>
  <c r="L163" i="3"/>
  <c r="I163" i="3"/>
  <c r="R158" i="3"/>
  <c r="S160" i="3"/>
  <c r="T160" i="3" s="1"/>
  <c r="U160" i="3"/>
  <c r="V160" i="3" s="1"/>
  <c r="W160" i="3" s="1"/>
  <c r="S161" i="3"/>
  <c r="T161" i="3" s="1"/>
  <c r="U161" i="3"/>
  <c r="V161" i="3" s="1"/>
  <c r="D162" i="3"/>
  <c r="T192" i="13" l="1"/>
  <c r="U192" i="13" s="1"/>
  <c r="V192" i="13"/>
  <c r="W192" i="13" s="1"/>
  <c r="X192" i="13" s="1"/>
  <c r="Q194" i="13"/>
  <c r="K194" i="13"/>
  <c r="E193" i="13"/>
  <c r="O194" i="13"/>
  <c r="J194" i="13"/>
  <c r="B194" i="13"/>
  <c r="H194" i="13" s="1"/>
  <c r="N194" i="13"/>
  <c r="I194" i="13"/>
  <c r="C193" i="13"/>
  <c r="D193" i="13" s="1"/>
  <c r="R194" i="13"/>
  <c r="M194" i="13"/>
  <c r="F193" i="13"/>
  <c r="G192" i="13"/>
  <c r="S193" i="13"/>
  <c r="F66" i="10"/>
  <c r="Q188" i="3"/>
  <c r="P188" i="3"/>
  <c r="N188" i="3"/>
  <c r="M188" i="3"/>
  <c r="A188" i="3"/>
  <c r="B188" i="3" s="1"/>
  <c r="C188" i="3" s="1"/>
  <c r="F186" i="3"/>
  <c r="E186" i="3" s="1"/>
  <c r="G161" i="3"/>
  <c r="H161" i="3" s="1"/>
  <c r="G160" i="3"/>
  <c r="H160" i="3" s="1"/>
  <c r="W161" i="3"/>
  <c r="L164" i="3"/>
  <c r="I164" i="3"/>
  <c r="J164" i="3"/>
  <c r="R159" i="3"/>
  <c r="D163" i="3"/>
  <c r="V193" i="13" l="1"/>
  <c r="W193" i="13" s="1"/>
  <c r="X193" i="13" s="1"/>
  <c r="T193" i="13"/>
  <c r="U193" i="13" s="1"/>
  <c r="S194" i="13"/>
  <c r="O195" i="13"/>
  <c r="J195" i="13"/>
  <c r="B195" i="13"/>
  <c r="H195" i="13" s="1"/>
  <c r="C194" i="13"/>
  <c r="D194" i="13" s="1"/>
  <c r="N195" i="13"/>
  <c r="I195" i="13"/>
  <c r="F194" i="13"/>
  <c r="R195" i="13"/>
  <c r="M195" i="13"/>
  <c r="E194" i="13"/>
  <c r="Q195" i="13"/>
  <c r="K195" i="13"/>
  <c r="G193" i="13"/>
  <c r="E66" i="10"/>
  <c r="E71" i="3"/>
  <c r="H71" i="3"/>
  <c r="Q189" i="3"/>
  <c r="M189" i="3"/>
  <c r="P189" i="3"/>
  <c r="N189" i="3"/>
  <c r="A189" i="3"/>
  <c r="B189" i="3" s="1"/>
  <c r="C189" i="3" s="1"/>
  <c r="F187" i="3"/>
  <c r="E187" i="3" s="1"/>
  <c r="R160" i="3"/>
  <c r="J165" i="3"/>
  <c r="L165" i="3"/>
  <c r="I165" i="3"/>
  <c r="U162" i="3"/>
  <c r="V162" i="3" s="1"/>
  <c r="W162" i="3" s="1"/>
  <c r="S162" i="3"/>
  <c r="T162" i="3" s="1"/>
  <c r="S163" i="3"/>
  <c r="T163" i="3" s="1"/>
  <c r="U163" i="3"/>
  <c r="V163" i="3" s="1"/>
  <c r="D164" i="3"/>
  <c r="S195" i="13" l="1"/>
  <c r="T194" i="13"/>
  <c r="U194" i="13" s="1"/>
  <c r="V194" i="13"/>
  <c r="W194" i="13" s="1"/>
  <c r="X194" i="13" s="1"/>
  <c r="N196" i="13"/>
  <c r="I196" i="13"/>
  <c r="F195" i="13"/>
  <c r="R196" i="13"/>
  <c r="M196" i="13"/>
  <c r="E195" i="13"/>
  <c r="Q196" i="13"/>
  <c r="K196" i="13"/>
  <c r="O196" i="13"/>
  <c r="J196" i="13"/>
  <c r="B196" i="13"/>
  <c r="H196" i="13" s="1"/>
  <c r="C195" i="13"/>
  <c r="D195" i="13" s="1"/>
  <c r="G194" i="13"/>
  <c r="D66" i="10"/>
  <c r="R71" i="3"/>
  <c r="Q190" i="3"/>
  <c r="P190" i="3"/>
  <c r="N190" i="3"/>
  <c r="M190" i="3"/>
  <c r="A190" i="3"/>
  <c r="B190" i="3" s="1"/>
  <c r="C190" i="3" s="1"/>
  <c r="F188" i="3"/>
  <c r="E188" i="3" s="1"/>
  <c r="G163" i="3"/>
  <c r="H163" i="3" s="1"/>
  <c r="G162" i="3"/>
  <c r="H162" i="3" s="1"/>
  <c r="W163" i="3"/>
  <c r="L166" i="3"/>
  <c r="I166" i="3"/>
  <c r="J166" i="3"/>
  <c r="R161" i="3"/>
  <c r="U164" i="3"/>
  <c r="V164" i="3" s="1"/>
  <c r="S164" i="3"/>
  <c r="T164" i="3" s="1"/>
  <c r="D165" i="3"/>
  <c r="R197" i="13" l="1"/>
  <c r="M197" i="13"/>
  <c r="E196" i="13"/>
  <c r="Q197" i="13"/>
  <c r="K197" i="13"/>
  <c r="O197" i="13"/>
  <c r="J197" i="13"/>
  <c r="B197" i="13"/>
  <c r="H197" i="13" s="1"/>
  <c r="C196" i="13"/>
  <c r="D196" i="13" s="1"/>
  <c r="N197" i="13"/>
  <c r="I197" i="13"/>
  <c r="F196" i="13"/>
  <c r="G195" i="13"/>
  <c r="T195" i="13"/>
  <c r="U195" i="13" s="1"/>
  <c r="V195" i="13"/>
  <c r="W195" i="13" s="1"/>
  <c r="X195" i="13" s="1"/>
  <c r="S196" i="13"/>
  <c r="F67" i="10"/>
  <c r="Q191" i="3"/>
  <c r="P191" i="3"/>
  <c r="N191" i="3"/>
  <c r="M191" i="3"/>
  <c r="A191" i="3"/>
  <c r="B191" i="3" s="1"/>
  <c r="C191" i="3" s="1"/>
  <c r="F189" i="3"/>
  <c r="E189" i="3" s="1"/>
  <c r="G164" i="3"/>
  <c r="H164" i="3" s="1"/>
  <c r="W164" i="3"/>
  <c r="J167" i="3"/>
  <c r="L167" i="3"/>
  <c r="I167" i="3"/>
  <c r="D166" i="3"/>
  <c r="S197" i="13" l="1"/>
  <c r="V196" i="13"/>
  <c r="W196" i="13" s="1"/>
  <c r="X196" i="13" s="1"/>
  <c r="T196" i="13"/>
  <c r="U196" i="13" s="1"/>
  <c r="Q198" i="13"/>
  <c r="K198" i="13"/>
  <c r="O198" i="13"/>
  <c r="J198" i="13"/>
  <c r="B198" i="13"/>
  <c r="H198" i="13" s="1"/>
  <c r="C197" i="13"/>
  <c r="D197" i="13" s="1"/>
  <c r="N198" i="13"/>
  <c r="I198" i="13"/>
  <c r="F197" i="13"/>
  <c r="R198" i="13"/>
  <c r="M198" i="13"/>
  <c r="E197" i="13"/>
  <c r="G196" i="13"/>
  <c r="E67" i="10"/>
  <c r="E72" i="3"/>
  <c r="H72" i="3"/>
  <c r="Q192" i="3"/>
  <c r="P192" i="3"/>
  <c r="N192" i="3"/>
  <c r="M192" i="3"/>
  <c r="A192" i="3"/>
  <c r="F190" i="3"/>
  <c r="E190" i="3" s="1"/>
  <c r="R162" i="3"/>
  <c r="L168" i="3"/>
  <c r="I168" i="3"/>
  <c r="J168" i="3"/>
  <c r="R163" i="3"/>
  <c r="U165" i="3"/>
  <c r="V165" i="3" s="1"/>
  <c r="W165" i="3" s="1"/>
  <c r="S165" i="3"/>
  <c r="T165" i="3" s="1"/>
  <c r="D167" i="3"/>
  <c r="S198" i="13" l="1"/>
  <c r="V197" i="13"/>
  <c r="W197" i="13" s="1"/>
  <c r="X197" i="13" s="1"/>
  <c r="T197" i="13"/>
  <c r="U197" i="13" s="1"/>
  <c r="O199" i="13"/>
  <c r="J199" i="13"/>
  <c r="B199" i="13"/>
  <c r="H199" i="13" s="1"/>
  <c r="C198" i="13"/>
  <c r="D198" i="13" s="1"/>
  <c r="N199" i="13"/>
  <c r="I199" i="13"/>
  <c r="F198" i="13"/>
  <c r="R199" i="13"/>
  <c r="M199" i="13"/>
  <c r="E198" i="13"/>
  <c r="Q199" i="13"/>
  <c r="K199" i="13"/>
  <c r="G197" i="13"/>
  <c r="D67" i="10"/>
  <c r="K73" i="3"/>
  <c r="R72" i="3"/>
  <c r="J193" i="3"/>
  <c r="B192" i="3"/>
  <c r="C192" i="3" s="1"/>
  <c r="Q193" i="3"/>
  <c r="P193" i="3"/>
  <c r="M193" i="3"/>
  <c r="N193" i="3"/>
  <c r="A193" i="3"/>
  <c r="B193" i="3" s="1"/>
  <c r="C193" i="3" s="1"/>
  <c r="F191" i="3"/>
  <c r="E191" i="3" s="1"/>
  <c r="G165" i="3"/>
  <c r="H165" i="3" s="1"/>
  <c r="L169" i="3"/>
  <c r="I169" i="3"/>
  <c r="R164" i="3"/>
  <c r="U166" i="3"/>
  <c r="V166" i="3" s="1"/>
  <c r="W166" i="3" s="1"/>
  <c r="S166" i="3"/>
  <c r="T166" i="3" s="1"/>
  <c r="D168" i="3"/>
  <c r="S199" i="13" l="1"/>
  <c r="T198" i="13"/>
  <c r="U198" i="13" s="1"/>
  <c r="V198" i="13"/>
  <c r="W198" i="13" s="1"/>
  <c r="X198" i="13" s="1"/>
  <c r="N200" i="13"/>
  <c r="I200" i="13"/>
  <c r="F199" i="13"/>
  <c r="R200" i="13"/>
  <c r="M200" i="13"/>
  <c r="E199" i="13"/>
  <c r="Q200" i="13"/>
  <c r="K200" i="13"/>
  <c r="O200" i="13"/>
  <c r="J200" i="13"/>
  <c r="B200" i="13"/>
  <c r="H200" i="13" s="1"/>
  <c r="C199" i="13"/>
  <c r="D199" i="13" s="1"/>
  <c r="G198" i="13"/>
  <c r="O68" i="10"/>
  <c r="O69" i="12"/>
  <c r="F68" i="10"/>
  <c r="Y6" i="3"/>
  <c r="Z6" i="3" s="1"/>
  <c r="Q194" i="3"/>
  <c r="P194" i="3"/>
  <c r="N194" i="3"/>
  <c r="M194" i="3"/>
  <c r="A194" i="3"/>
  <c r="B194" i="3" s="1"/>
  <c r="C194" i="3" s="1"/>
  <c r="F192" i="3"/>
  <c r="E192" i="3" s="1"/>
  <c r="G166" i="3"/>
  <c r="H166" i="3" s="1"/>
  <c r="L170" i="3"/>
  <c r="I170" i="3"/>
  <c r="J170" i="3"/>
  <c r="S167" i="3"/>
  <c r="T167" i="3" s="1"/>
  <c r="U167" i="3"/>
  <c r="V167" i="3" s="1"/>
  <c r="W167" i="3" s="1"/>
  <c r="U168" i="3"/>
  <c r="V168" i="3" s="1"/>
  <c r="S168" i="3"/>
  <c r="T168" i="3" s="1"/>
  <c r="D169" i="3"/>
  <c r="R201" i="13" l="1"/>
  <c r="M201" i="13"/>
  <c r="E200" i="13"/>
  <c r="Q201" i="13"/>
  <c r="K201" i="13"/>
  <c r="O201" i="13"/>
  <c r="J201" i="13"/>
  <c r="B201" i="13"/>
  <c r="H201" i="13" s="1"/>
  <c r="C200" i="13"/>
  <c r="D200" i="13" s="1"/>
  <c r="N201" i="13"/>
  <c r="I201" i="13"/>
  <c r="F200" i="13"/>
  <c r="G199" i="13"/>
  <c r="T199" i="13"/>
  <c r="U199" i="13" s="1"/>
  <c r="V199" i="13"/>
  <c r="W199" i="13" s="1"/>
  <c r="X199" i="13" s="1"/>
  <c r="S200" i="13"/>
  <c r="E68" i="10"/>
  <c r="E73" i="3"/>
  <c r="P195" i="3"/>
  <c r="Q195" i="3"/>
  <c r="N195" i="3"/>
  <c r="M195" i="3"/>
  <c r="A195" i="3"/>
  <c r="B195" i="3" s="1"/>
  <c r="C195" i="3" s="1"/>
  <c r="F193" i="3"/>
  <c r="E193" i="3" s="1"/>
  <c r="G167" i="3"/>
  <c r="H167" i="3" s="1"/>
  <c r="W168" i="3"/>
  <c r="G168" i="3" s="1"/>
  <c r="H168" i="3" s="1"/>
  <c r="R165" i="3"/>
  <c r="R166" i="3"/>
  <c r="J171" i="3"/>
  <c r="L171" i="3"/>
  <c r="I171" i="3"/>
  <c r="D170" i="3"/>
  <c r="U169" i="3"/>
  <c r="V169" i="3" s="1"/>
  <c r="S201" i="13" l="1"/>
  <c r="V200" i="13"/>
  <c r="W200" i="13" s="1"/>
  <c r="X200" i="13" s="1"/>
  <c r="T200" i="13"/>
  <c r="U200" i="13" s="1"/>
  <c r="O202" i="13"/>
  <c r="J202" i="13"/>
  <c r="N202" i="13"/>
  <c r="I202" i="13"/>
  <c r="R202" i="13"/>
  <c r="M202" i="13"/>
  <c r="Q202" i="13"/>
  <c r="K202" i="13"/>
  <c r="C201" i="13"/>
  <c r="D201" i="13" s="1"/>
  <c r="B202" i="13"/>
  <c r="F201" i="13"/>
  <c r="E201" i="13"/>
  <c r="G200" i="13"/>
  <c r="Q196" i="3"/>
  <c r="P196" i="3"/>
  <c r="N196" i="3"/>
  <c r="M196" i="3"/>
  <c r="A196" i="3"/>
  <c r="B196" i="3" s="1"/>
  <c r="C196" i="3" s="1"/>
  <c r="F194" i="3"/>
  <c r="E194" i="3" s="1"/>
  <c r="K169" i="3"/>
  <c r="Y14" i="3" s="1"/>
  <c r="Z14" i="3" s="1"/>
  <c r="W169" i="3"/>
  <c r="L172" i="3"/>
  <c r="I172" i="3"/>
  <c r="J172" i="3"/>
  <c r="S169" i="3"/>
  <c r="T169" i="3" s="1"/>
  <c r="G169" i="3" s="1"/>
  <c r="H169" i="3" s="1"/>
  <c r="D171" i="3"/>
  <c r="S202" i="13" l="1"/>
  <c r="N203" i="13"/>
  <c r="I203" i="13"/>
  <c r="F202" i="13"/>
  <c r="R203" i="13"/>
  <c r="M203" i="13"/>
  <c r="E202" i="13"/>
  <c r="Q203" i="13"/>
  <c r="K203" i="13"/>
  <c r="O203" i="13"/>
  <c r="J203" i="13"/>
  <c r="B203" i="13"/>
  <c r="H203" i="13" s="1"/>
  <c r="C202" i="13"/>
  <c r="D202" i="13" s="1"/>
  <c r="G201" i="13"/>
  <c r="V201" i="13"/>
  <c r="W201" i="13" s="1"/>
  <c r="X201" i="13" s="1"/>
  <c r="T201" i="13"/>
  <c r="U201" i="13" s="1"/>
  <c r="H202" i="13"/>
  <c r="F69" i="10"/>
  <c r="Q197" i="3"/>
  <c r="M197" i="3"/>
  <c r="P197" i="3"/>
  <c r="N197" i="3"/>
  <c r="A197" i="3"/>
  <c r="B197" i="3" s="1"/>
  <c r="C197" i="3" s="1"/>
  <c r="F195" i="3"/>
  <c r="E195" i="3" s="1"/>
  <c r="R167" i="3"/>
  <c r="J173" i="3"/>
  <c r="L173" i="3"/>
  <c r="I173" i="3"/>
  <c r="R168" i="3"/>
  <c r="S170" i="3"/>
  <c r="T170" i="3" s="1"/>
  <c r="U170" i="3"/>
  <c r="V170" i="3" s="1"/>
  <c r="U171" i="3"/>
  <c r="V171" i="3" s="1"/>
  <c r="D172" i="3"/>
  <c r="T202" i="13" l="1"/>
  <c r="U202" i="13" s="1"/>
  <c r="V202" i="13"/>
  <c r="W202" i="13" s="1"/>
  <c r="X202" i="13" s="1"/>
  <c r="S203" i="13"/>
  <c r="R204" i="13"/>
  <c r="M204" i="13"/>
  <c r="E203" i="13"/>
  <c r="Q204" i="13"/>
  <c r="K204" i="13"/>
  <c r="O204" i="13"/>
  <c r="J204" i="13"/>
  <c r="B204" i="13"/>
  <c r="H204" i="13" s="1"/>
  <c r="C203" i="13"/>
  <c r="D203" i="13" s="1"/>
  <c r="N204" i="13"/>
  <c r="I204" i="13"/>
  <c r="F203" i="13"/>
  <c r="G202" i="13"/>
  <c r="E69" i="10"/>
  <c r="E74" i="3"/>
  <c r="H74" i="3"/>
  <c r="P198" i="3"/>
  <c r="Q198" i="3"/>
  <c r="N198" i="3"/>
  <c r="M198" i="3"/>
  <c r="A198" i="3"/>
  <c r="B198" i="3" s="1"/>
  <c r="C198" i="3" s="1"/>
  <c r="F196" i="3"/>
  <c r="E196" i="3" s="1"/>
  <c r="G170" i="3"/>
  <c r="H170" i="3" s="1"/>
  <c r="W170" i="3"/>
  <c r="L174" i="3"/>
  <c r="I174" i="3"/>
  <c r="J174" i="3"/>
  <c r="S171" i="3"/>
  <c r="T171" i="3" s="1"/>
  <c r="S172" i="3"/>
  <c r="T172" i="3" s="1"/>
  <c r="U172" i="3"/>
  <c r="V172" i="3" s="1"/>
  <c r="D173" i="3"/>
  <c r="V203" i="13" l="1"/>
  <c r="W203" i="13" s="1"/>
  <c r="X203" i="13" s="1"/>
  <c r="T203" i="13"/>
  <c r="U203" i="13" s="1"/>
  <c r="O205" i="13"/>
  <c r="N205" i="13"/>
  <c r="J205" i="13"/>
  <c r="B205" i="13"/>
  <c r="H205" i="13" s="1"/>
  <c r="C204" i="13"/>
  <c r="D204" i="13" s="1"/>
  <c r="R205" i="13"/>
  <c r="M205" i="13"/>
  <c r="I205" i="13"/>
  <c r="F204" i="13"/>
  <c r="Q205" i="13"/>
  <c r="E204" i="13"/>
  <c r="K205" i="13"/>
  <c r="L205" i="13"/>
  <c r="G203" i="13"/>
  <c r="S204" i="13"/>
  <c r="D69" i="10"/>
  <c r="R74" i="3"/>
  <c r="Q199" i="3"/>
  <c r="P199" i="3"/>
  <c r="N199" i="3"/>
  <c r="M199" i="3"/>
  <c r="A199" i="3"/>
  <c r="B199" i="3" s="1"/>
  <c r="C199" i="3" s="1"/>
  <c r="F197" i="3"/>
  <c r="E197" i="3" s="1"/>
  <c r="G172" i="3"/>
  <c r="H172" i="3" s="1"/>
  <c r="G171" i="3"/>
  <c r="H171" i="3" s="1"/>
  <c r="R169" i="3"/>
  <c r="R170" i="3"/>
  <c r="W172" i="3"/>
  <c r="W171" i="3"/>
  <c r="J175" i="3"/>
  <c r="L175" i="3"/>
  <c r="I175" i="3"/>
  <c r="D174" i="3"/>
  <c r="S205" i="13" l="1"/>
  <c r="N206" i="13"/>
  <c r="I206" i="13"/>
  <c r="C205" i="13"/>
  <c r="D205" i="13" s="1"/>
  <c r="R206" i="13"/>
  <c r="M206" i="13"/>
  <c r="F205" i="13"/>
  <c r="Q206" i="13"/>
  <c r="K206" i="13"/>
  <c r="E205" i="13"/>
  <c r="O206" i="13"/>
  <c r="J206" i="13"/>
  <c r="B206" i="13"/>
  <c r="G204" i="13"/>
  <c r="V204" i="13"/>
  <c r="W204" i="13" s="1"/>
  <c r="X204" i="13" s="1"/>
  <c r="T204" i="13"/>
  <c r="U204" i="13" s="1"/>
  <c r="F70" i="10"/>
  <c r="P200" i="3"/>
  <c r="N200" i="3"/>
  <c r="M200" i="3"/>
  <c r="Q200" i="3"/>
  <c r="A200" i="3"/>
  <c r="B200" i="3" s="1"/>
  <c r="C200" i="3" s="1"/>
  <c r="F198" i="3"/>
  <c r="E198" i="3" s="1"/>
  <c r="L176" i="3"/>
  <c r="I176" i="3"/>
  <c r="J176" i="3"/>
  <c r="U173" i="3"/>
  <c r="V173" i="3" s="1"/>
  <c r="W173" i="3" s="1"/>
  <c r="S173" i="3"/>
  <c r="T173" i="3" s="1"/>
  <c r="D175" i="3"/>
  <c r="R207" i="13" l="1"/>
  <c r="M207" i="13"/>
  <c r="E206" i="13"/>
  <c r="Q207" i="13"/>
  <c r="K207" i="13"/>
  <c r="O207" i="13"/>
  <c r="J207" i="13"/>
  <c r="B207" i="13"/>
  <c r="H207" i="13" s="1"/>
  <c r="C206" i="13"/>
  <c r="D206" i="13" s="1"/>
  <c r="N207" i="13"/>
  <c r="I207" i="13"/>
  <c r="F206" i="13"/>
  <c r="G205" i="13"/>
  <c r="H206" i="13"/>
  <c r="S206" i="13"/>
  <c r="T205" i="13"/>
  <c r="U205" i="13" s="1"/>
  <c r="V205" i="13"/>
  <c r="W205" i="13" s="1"/>
  <c r="X205" i="13" s="1"/>
  <c r="E70" i="10"/>
  <c r="E75" i="3"/>
  <c r="H75" i="3"/>
  <c r="Q201" i="3"/>
  <c r="P201" i="3"/>
  <c r="M201" i="3"/>
  <c r="N201" i="3"/>
  <c r="A201" i="3"/>
  <c r="B201" i="3" s="1"/>
  <c r="C201" i="3" s="1"/>
  <c r="F199" i="3"/>
  <c r="E199" i="3" s="1"/>
  <c r="G173" i="3"/>
  <c r="H173" i="3" s="1"/>
  <c r="J177" i="3"/>
  <c r="L177" i="3"/>
  <c r="I177" i="3"/>
  <c r="R172" i="3"/>
  <c r="R171" i="3"/>
  <c r="U174" i="3"/>
  <c r="V174" i="3" s="1"/>
  <c r="W174" i="3" s="1"/>
  <c r="S174" i="3"/>
  <c r="T174" i="3" s="1"/>
  <c r="S175" i="3"/>
  <c r="T175" i="3" s="1"/>
  <c r="U175" i="3"/>
  <c r="V175" i="3" s="1"/>
  <c r="D176" i="3"/>
  <c r="G175" i="3"/>
  <c r="H175" i="3" s="1"/>
  <c r="V206" i="13" l="1"/>
  <c r="W206" i="13" s="1"/>
  <c r="X206" i="13" s="1"/>
  <c r="T206" i="13"/>
  <c r="U206" i="13" s="1"/>
  <c r="Q208" i="13"/>
  <c r="K208" i="13"/>
  <c r="O208" i="13"/>
  <c r="J208" i="13"/>
  <c r="B208" i="13"/>
  <c r="H208" i="13" s="1"/>
  <c r="C207" i="13"/>
  <c r="D207" i="13" s="1"/>
  <c r="N208" i="13"/>
  <c r="I208" i="13"/>
  <c r="F207" i="13"/>
  <c r="R208" i="13"/>
  <c r="M208" i="13"/>
  <c r="E207" i="13"/>
  <c r="G206" i="13"/>
  <c r="S207" i="13"/>
  <c r="D70" i="10"/>
  <c r="R75" i="3"/>
  <c r="P202" i="3"/>
  <c r="Q202" i="3"/>
  <c r="N202" i="3"/>
  <c r="M202" i="3"/>
  <c r="A202" i="3"/>
  <c r="B202" i="3" s="1"/>
  <c r="C202" i="3" s="1"/>
  <c r="F200" i="3"/>
  <c r="E200" i="3" s="1"/>
  <c r="G174" i="3"/>
  <c r="H174" i="3" s="1"/>
  <c r="R173" i="3"/>
  <c r="W175" i="3"/>
  <c r="L178" i="3"/>
  <c r="I178" i="3"/>
  <c r="J178" i="3"/>
  <c r="S176" i="3"/>
  <c r="T176" i="3" s="1"/>
  <c r="D177" i="3"/>
  <c r="S208" i="13" l="1"/>
  <c r="V207" i="13"/>
  <c r="W207" i="13" s="1"/>
  <c r="X207" i="13" s="1"/>
  <c r="T207" i="13"/>
  <c r="U207" i="13" s="1"/>
  <c r="O209" i="13"/>
  <c r="J209" i="13"/>
  <c r="B209" i="13"/>
  <c r="H209" i="13" s="1"/>
  <c r="C208" i="13"/>
  <c r="D208" i="13" s="1"/>
  <c r="N209" i="13"/>
  <c r="I209" i="13"/>
  <c r="F208" i="13"/>
  <c r="R209" i="13"/>
  <c r="M209" i="13"/>
  <c r="E208" i="13"/>
  <c r="Q209" i="13"/>
  <c r="K209" i="13"/>
  <c r="G207" i="13"/>
  <c r="F71" i="10"/>
  <c r="Q203" i="3"/>
  <c r="P203" i="3"/>
  <c r="N203" i="3"/>
  <c r="M203" i="3"/>
  <c r="A203" i="3"/>
  <c r="B203" i="3" s="1"/>
  <c r="C203" i="3" s="1"/>
  <c r="F201" i="3"/>
  <c r="E201" i="3" s="1"/>
  <c r="R174" i="3"/>
  <c r="J179" i="3"/>
  <c r="L179" i="3"/>
  <c r="I179" i="3"/>
  <c r="U176" i="3"/>
  <c r="V176" i="3" s="1"/>
  <c r="U177" i="3"/>
  <c r="V177" i="3" s="1"/>
  <c r="S177" i="3"/>
  <c r="T177" i="3" s="1"/>
  <c r="D178" i="3"/>
  <c r="S209" i="13" l="1"/>
  <c r="T208" i="13"/>
  <c r="U208" i="13" s="1"/>
  <c r="V208" i="13"/>
  <c r="W208" i="13" s="1"/>
  <c r="X208" i="13" s="1"/>
  <c r="N210" i="13"/>
  <c r="I210" i="13"/>
  <c r="F209" i="13"/>
  <c r="R210" i="13"/>
  <c r="M210" i="13"/>
  <c r="E209" i="13"/>
  <c r="Q210" i="13"/>
  <c r="K210" i="13"/>
  <c r="O210" i="13"/>
  <c r="J210" i="13"/>
  <c r="B210" i="13"/>
  <c r="H210" i="13" s="1"/>
  <c r="C209" i="13"/>
  <c r="D209" i="13" s="1"/>
  <c r="G208" i="13"/>
  <c r="E71" i="10"/>
  <c r="E76" i="3"/>
  <c r="H76" i="3"/>
  <c r="P204" i="3"/>
  <c r="N204" i="3"/>
  <c r="M204" i="3"/>
  <c r="Q204" i="3"/>
  <c r="A204" i="3"/>
  <c r="F202" i="3"/>
  <c r="E202" i="3" s="1"/>
  <c r="G177" i="3"/>
  <c r="H177" i="3" s="1"/>
  <c r="G176" i="3"/>
  <c r="H176" i="3" s="1"/>
  <c r="W177" i="3"/>
  <c r="W176" i="3"/>
  <c r="L180" i="3"/>
  <c r="I180" i="3"/>
  <c r="J180" i="3"/>
  <c r="R175" i="3"/>
  <c r="D179" i="3"/>
  <c r="S210" i="13" l="1"/>
  <c r="R211" i="13"/>
  <c r="M211" i="13"/>
  <c r="E210" i="13"/>
  <c r="Q211" i="13"/>
  <c r="K211" i="13"/>
  <c r="O211" i="13"/>
  <c r="J211" i="13"/>
  <c r="B211" i="13"/>
  <c r="H211" i="13" s="1"/>
  <c r="C210" i="13"/>
  <c r="D210" i="13" s="1"/>
  <c r="N211" i="13"/>
  <c r="I211" i="13"/>
  <c r="F210" i="13"/>
  <c r="G209" i="13"/>
  <c r="T209" i="13"/>
  <c r="U209" i="13" s="1"/>
  <c r="V209" i="13"/>
  <c r="W209" i="13" s="1"/>
  <c r="X209" i="13" s="1"/>
  <c r="D71" i="10"/>
  <c r="R76" i="3"/>
  <c r="B204" i="3"/>
  <c r="C204" i="3" s="1"/>
  <c r="M205" i="3"/>
  <c r="N205" i="3"/>
  <c r="A205" i="3"/>
  <c r="B205" i="3" s="1"/>
  <c r="C205" i="3" s="1"/>
  <c r="F203" i="3"/>
  <c r="E203" i="3" s="1"/>
  <c r="L181" i="3"/>
  <c r="I181" i="3"/>
  <c r="U178" i="3"/>
  <c r="V178" i="3" s="1"/>
  <c r="W178" i="3" s="1"/>
  <c r="S178" i="3"/>
  <c r="T178" i="3" s="1"/>
  <c r="S179" i="3"/>
  <c r="T179" i="3" s="1"/>
  <c r="U179" i="3"/>
  <c r="V179" i="3" s="1"/>
  <c r="D180" i="3"/>
  <c r="S211" i="13" l="1"/>
  <c r="V210" i="13"/>
  <c r="W210" i="13" s="1"/>
  <c r="X210" i="13" s="1"/>
  <c r="T210" i="13"/>
  <c r="U210" i="13" s="1"/>
  <c r="Q212" i="13"/>
  <c r="K212" i="13"/>
  <c r="O212" i="13"/>
  <c r="J212" i="13"/>
  <c r="B212" i="13"/>
  <c r="H212" i="13" s="1"/>
  <c r="C211" i="13"/>
  <c r="D211" i="13" s="1"/>
  <c r="N212" i="13"/>
  <c r="I212" i="13"/>
  <c r="F211" i="13"/>
  <c r="R212" i="13"/>
  <c r="M212" i="13"/>
  <c r="E211" i="13"/>
  <c r="G210" i="13"/>
  <c r="F72" i="10"/>
  <c r="P206" i="3"/>
  <c r="Q206" i="3"/>
  <c r="N206" i="3"/>
  <c r="M206" i="3"/>
  <c r="A206" i="3"/>
  <c r="B206" i="3" s="1"/>
  <c r="C206" i="3" s="1"/>
  <c r="F204" i="3"/>
  <c r="E204" i="3" s="1"/>
  <c r="G179" i="3"/>
  <c r="H179" i="3" s="1"/>
  <c r="G178" i="3"/>
  <c r="H178" i="3" s="1"/>
  <c r="R176" i="3"/>
  <c r="W179" i="3"/>
  <c r="L182" i="3"/>
  <c r="I182" i="3"/>
  <c r="J182" i="3"/>
  <c r="R177" i="3"/>
  <c r="U180" i="3"/>
  <c r="V180" i="3" s="1"/>
  <c r="S180" i="3"/>
  <c r="T180" i="3" s="1"/>
  <c r="D181" i="3"/>
  <c r="S212" i="13" l="1"/>
  <c r="V211" i="13"/>
  <c r="W211" i="13" s="1"/>
  <c r="X211" i="13" s="1"/>
  <c r="T211" i="13"/>
  <c r="U211" i="13" s="1"/>
  <c r="O213" i="13"/>
  <c r="J213" i="13"/>
  <c r="B213" i="13"/>
  <c r="C212" i="13"/>
  <c r="D212" i="13" s="1"/>
  <c r="N213" i="13"/>
  <c r="I213" i="13"/>
  <c r="F212" i="13"/>
  <c r="R213" i="13"/>
  <c r="M213" i="13"/>
  <c r="E212" i="13"/>
  <c r="Q213" i="13"/>
  <c r="K213" i="13"/>
  <c r="G211" i="13"/>
  <c r="E72" i="10"/>
  <c r="E77" i="3"/>
  <c r="H77" i="3"/>
  <c r="Q207" i="3"/>
  <c r="P207" i="3"/>
  <c r="N207" i="3"/>
  <c r="M207" i="3"/>
  <c r="A207" i="3"/>
  <c r="B207" i="3" s="1"/>
  <c r="C207" i="3" s="1"/>
  <c r="F205" i="3"/>
  <c r="E205" i="3" s="1"/>
  <c r="W180" i="3"/>
  <c r="G180" i="3" s="1"/>
  <c r="H180" i="3" s="1"/>
  <c r="J183" i="3"/>
  <c r="L183" i="3"/>
  <c r="I183" i="3"/>
  <c r="R178" i="3"/>
  <c r="S181" i="3"/>
  <c r="T181" i="3" s="1"/>
  <c r="G181" i="3" s="1"/>
  <c r="H181" i="3" s="1"/>
  <c r="U181" i="3"/>
  <c r="V181" i="3" s="1"/>
  <c r="D182" i="3"/>
  <c r="S213" i="13" l="1"/>
  <c r="T212" i="13"/>
  <c r="U212" i="13" s="1"/>
  <c r="V212" i="13"/>
  <c r="W212" i="13" s="1"/>
  <c r="X212" i="13" s="1"/>
  <c r="N214" i="13"/>
  <c r="I214" i="13"/>
  <c r="F213" i="13"/>
  <c r="R214" i="13"/>
  <c r="M214" i="13"/>
  <c r="E213" i="13"/>
  <c r="Q214" i="13"/>
  <c r="K214" i="13"/>
  <c r="O214" i="13"/>
  <c r="J214" i="13"/>
  <c r="B214" i="13"/>
  <c r="H214" i="13" s="1"/>
  <c r="C213" i="13"/>
  <c r="D213" i="13" s="1"/>
  <c r="G212" i="13"/>
  <c r="H213" i="13"/>
  <c r="D72" i="10"/>
  <c r="R77" i="3"/>
  <c r="P208" i="3"/>
  <c r="N208" i="3"/>
  <c r="M208" i="3"/>
  <c r="Q208" i="3"/>
  <c r="A208" i="3"/>
  <c r="B208" i="3" s="1"/>
  <c r="C208" i="3" s="1"/>
  <c r="F206" i="3"/>
  <c r="E206" i="3" s="1"/>
  <c r="K181" i="3"/>
  <c r="W181" i="3"/>
  <c r="L184" i="3"/>
  <c r="I184" i="3"/>
  <c r="J184" i="3"/>
  <c r="R179" i="3"/>
  <c r="D183" i="3"/>
  <c r="R215" i="13" l="1"/>
  <c r="M215" i="13"/>
  <c r="E214" i="13"/>
  <c r="Q215" i="13"/>
  <c r="K215" i="13"/>
  <c r="O215" i="13"/>
  <c r="J215" i="13"/>
  <c r="B215" i="13"/>
  <c r="H215" i="13" s="1"/>
  <c r="C214" i="13"/>
  <c r="D214" i="13" s="1"/>
  <c r="N215" i="13"/>
  <c r="I215" i="13"/>
  <c r="F214" i="13"/>
  <c r="G213" i="13"/>
  <c r="T213" i="13"/>
  <c r="U213" i="13" s="1"/>
  <c r="V213" i="13"/>
  <c r="W213" i="13" s="1"/>
  <c r="X213" i="13" s="1"/>
  <c r="S214" i="13"/>
  <c r="F73" i="10"/>
  <c r="Q209" i="3"/>
  <c r="P209" i="3"/>
  <c r="M209" i="3"/>
  <c r="N209" i="3"/>
  <c r="A209" i="3"/>
  <c r="B209" i="3" s="1"/>
  <c r="C209" i="3" s="1"/>
  <c r="F207" i="3"/>
  <c r="E207" i="3" s="1"/>
  <c r="Y15" i="3"/>
  <c r="Z15" i="3" s="1"/>
  <c r="J185" i="3"/>
  <c r="L185" i="3"/>
  <c r="I185" i="3"/>
  <c r="R180" i="3"/>
  <c r="U182" i="3"/>
  <c r="V182" i="3" s="1"/>
  <c r="W182" i="3" s="1"/>
  <c r="S182" i="3"/>
  <c r="T182" i="3" s="1"/>
  <c r="D184" i="3"/>
  <c r="S215" i="13" l="1"/>
  <c r="V214" i="13"/>
  <c r="W214" i="13" s="1"/>
  <c r="X214" i="13" s="1"/>
  <c r="T214" i="13"/>
  <c r="U214" i="13" s="1"/>
  <c r="Q216" i="13"/>
  <c r="K216" i="13"/>
  <c r="O216" i="13"/>
  <c r="J216" i="13"/>
  <c r="B216" i="13"/>
  <c r="H216" i="13" s="1"/>
  <c r="C215" i="13"/>
  <c r="D215" i="13" s="1"/>
  <c r="N216" i="13"/>
  <c r="I216" i="13"/>
  <c r="F215" i="13"/>
  <c r="R216" i="13"/>
  <c r="M216" i="13"/>
  <c r="E215" i="13"/>
  <c r="G214" i="13"/>
  <c r="E73" i="10"/>
  <c r="E78" i="3"/>
  <c r="H78" i="3"/>
  <c r="P210" i="3"/>
  <c r="Q210" i="3"/>
  <c r="N210" i="3"/>
  <c r="M210" i="3"/>
  <c r="A210" i="3"/>
  <c r="B210" i="3" s="1"/>
  <c r="C210" i="3" s="1"/>
  <c r="F208" i="3"/>
  <c r="E208" i="3" s="1"/>
  <c r="G182" i="3"/>
  <c r="H182" i="3" s="1"/>
  <c r="L186" i="3"/>
  <c r="I186" i="3"/>
  <c r="J186" i="3"/>
  <c r="R181" i="3"/>
  <c r="S183" i="3"/>
  <c r="T183" i="3" s="1"/>
  <c r="U183" i="3"/>
  <c r="V183" i="3" s="1"/>
  <c r="W183" i="3" s="1"/>
  <c r="S184" i="3"/>
  <c r="T184" i="3" s="1"/>
  <c r="D185" i="3"/>
  <c r="S216" i="13" l="1"/>
  <c r="V215" i="13"/>
  <c r="W215" i="13" s="1"/>
  <c r="X215" i="13" s="1"/>
  <c r="T215" i="13"/>
  <c r="U215" i="13" s="1"/>
  <c r="N217" i="13"/>
  <c r="J217" i="13"/>
  <c r="B217" i="13"/>
  <c r="C216" i="13"/>
  <c r="D216" i="13" s="1"/>
  <c r="R217" i="13"/>
  <c r="M217" i="13"/>
  <c r="I217" i="13"/>
  <c r="F216" i="13"/>
  <c r="Q217" i="13"/>
  <c r="E216" i="13"/>
  <c r="O217" i="13"/>
  <c r="L217" i="13"/>
  <c r="K217" i="13"/>
  <c r="G215" i="13"/>
  <c r="D73" i="10"/>
  <c r="R78" i="3"/>
  <c r="Q211" i="3"/>
  <c r="P211" i="3"/>
  <c r="N211" i="3"/>
  <c r="M211" i="3"/>
  <c r="A211" i="3"/>
  <c r="B211" i="3" s="1"/>
  <c r="C211" i="3" s="1"/>
  <c r="F209" i="3"/>
  <c r="E209" i="3" s="1"/>
  <c r="G183" i="3"/>
  <c r="H183" i="3" s="1"/>
  <c r="J187" i="3"/>
  <c r="L187" i="3"/>
  <c r="I187" i="3"/>
  <c r="R182" i="3"/>
  <c r="U184" i="3"/>
  <c r="V184" i="3" s="1"/>
  <c r="D186" i="3"/>
  <c r="T216" i="13" l="1"/>
  <c r="U216" i="13" s="1"/>
  <c r="V216" i="13"/>
  <c r="W216" i="13" s="1"/>
  <c r="X216" i="13" s="1"/>
  <c r="S217" i="13"/>
  <c r="R218" i="13"/>
  <c r="M218" i="13"/>
  <c r="F217" i="13"/>
  <c r="Q218" i="13"/>
  <c r="K218" i="13"/>
  <c r="E217" i="13"/>
  <c r="O218" i="13"/>
  <c r="J218" i="13"/>
  <c r="B218" i="13"/>
  <c r="N218" i="13"/>
  <c r="I218" i="13"/>
  <c r="C217" i="13"/>
  <c r="D217" i="13" s="1"/>
  <c r="G216" i="13"/>
  <c r="H217" i="13"/>
  <c r="F74" i="10"/>
  <c r="P212" i="3"/>
  <c r="N212" i="3"/>
  <c r="M212" i="3"/>
  <c r="Q212" i="3"/>
  <c r="A212" i="3"/>
  <c r="B212" i="3" s="1"/>
  <c r="C212" i="3" s="1"/>
  <c r="F210" i="3"/>
  <c r="E210" i="3" s="1"/>
  <c r="G184" i="3"/>
  <c r="H184" i="3" s="1"/>
  <c r="W184" i="3"/>
  <c r="L188" i="3"/>
  <c r="I188" i="3"/>
  <c r="J188" i="3"/>
  <c r="S185" i="3"/>
  <c r="T185" i="3" s="1"/>
  <c r="U185" i="3"/>
  <c r="V185" i="3" s="1"/>
  <c r="D187" i="3"/>
  <c r="S218" i="13" l="1"/>
  <c r="Q219" i="13"/>
  <c r="K219" i="13"/>
  <c r="O219" i="13"/>
  <c r="J219" i="13"/>
  <c r="B219" i="13"/>
  <c r="H219" i="13" s="1"/>
  <c r="C218" i="13"/>
  <c r="D218" i="13" s="1"/>
  <c r="N219" i="13"/>
  <c r="I219" i="13"/>
  <c r="F218" i="13"/>
  <c r="R219" i="13"/>
  <c r="M219" i="13"/>
  <c r="E218" i="13"/>
  <c r="G217" i="13"/>
  <c r="H218" i="13"/>
  <c r="V217" i="13"/>
  <c r="W217" i="13" s="1"/>
  <c r="X217" i="13" s="1"/>
  <c r="T217" i="13"/>
  <c r="U217" i="13" s="1"/>
  <c r="E74" i="10"/>
  <c r="E79" i="3"/>
  <c r="H79" i="3"/>
  <c r="Q213" i="3"/>
  <c r="M213" i="3"/>
  <c r="P213" i="3"/>
  <c r="N213" i="3"/>
  <c r="A213" i="3"/>
  <c r="B213" i="3" s="1"/>
  <c r="C213" i="3" s="1"/>
  <c r="F211" i="3"/>
  <c r="E211" i="3" s="1"/>
  <c r="G185" i="3"/>
  <c r="H185" i="3" s="1"/>
  <c r="W185" i="3"/>
  <c r="R183" i="3"/>
  <c r="J189" i="3"/>
  <c r="L189" i="3"/>
  <c r="I189" i="3"/>
  <c r="U186" i="3"/>
  <c r="V186" i="3" s="1"/>
  <c r="S186" i="3"/>
  <c r="T186" i="3" s="1"/>
  <c r="D188" i="3"/>
  <c r="S219" i="13" l="1"/>
  <c r="O220" i="13"/>
  <c r="J220" i="13"/>
  <c r="B220" i="13"/>
  <c r="H220" i="13" s="1"/>
  <c r="C219" i="13"/>
  <c r="D219" i="13" s="1"/>
  <c r="N220" i="13"/>
  <c r="I220" i="13"/>
  <c r="F219" i="13"/>
  <c r="R220" i="13"/>
  <c r="M220" i="13"/>
  <c r="E219" i="13"/>
  <c r="Q220" i="13"/>
  <c r="K220" i="13"/>
  <c r="G218" i="13"/>
  <c r="V218" i="13"/>
  <c r="W218" i="13" s="1"/>
  <c r="X218" i="13" s="1"/>
  <c r="T218" i="13"/>
  <c r="U218" i="13" s="1"/>
  <c r="D74" i="10"/>
  <c r="R79" i="3"/>
  <c r="Q214" i="3"/>
  <c r="P214" i="3"/>
  <c r="N214" i="3"/>
  <c r="M214" i="3"/>
  <c r="A214" i="3"/>
  <c r="B214" i="3" s="1"/>
  <c r="C214" i="3" s="1"/>
  <c r="F212" i="3"/>
  <c r="E212" i="3" s="1"/>
  <c r="G186" i="3"/>
  <c r="H186" i="3" s="1"/>
  <c r="W186" i="3"/>
  <c r="L190" i="3"/>
  <c r="I190" i="3"/>
  <c r="J190" i="3"/>
  <c r="R184" i="3"/>
  <c r="U187" i="3"/>
  <c r="V187" i="3" s="1"/>
  <c r="S187" i="3"/>
  <c r="T187" i="3" s="1"/>
  <c r="D189" i="3"/>
  <c r="N221" i="13" l="1"/>
  <c r="I221" i="13"/>
  <c r="F220" i="13"/>
  <c r="R221" i="13"/>
  <c r="M221" i="13"/>
  <c r="E220" i="13"/>
  <c r="Q221" i="13"/>
  <c r="K221" i="13"/>
  <c r="O221" i="13"/>
  <c r="J221" i="13"/>
  <c r="B221" i="13"/>
  <c r="H221" i="13" s="1"/>
  <c r="C220" i="13"/>
  <c r="D220" i="13" s="1"/>
  <c r="G219" i="13"/>
  <c r="S220" i="13"/>
  <c r="T219" i="13"/>
  <c r="U219" i="13" s="1"/>
  <c r="V219" i="13"/>
  <c r="W219" i="13" s="1"/>
  <c r="X219" i="13" s="1"/>
  <c r="F75" i="10"/>
  <c r="Q215" i="3"/>
  <c r="P215" i="3"/>
  <c r="N215" i="3"/>
  <c r="M215" i="3"/>
  <c r="A215" i="3"/>
  <c r="B215" i="3" s="1"/>
  <c r="C215" i="3" s="1"/>
  <c r="F213" i="3"/>
  <c r="E213" i="3" s="1"/>
  <c r="G187" i="3"/>
  <c r="H187" i="3" s="1"/>
  <c r="R185" i="3"/>
  <c r="R186" i="3"/>
  <c r="W187" i="3"/>
  <c r="J191" i="3"/>
  <c r="L191" i="3"/>
  <c r="I191" i="3"/>
  <c r="U188" i="3"/>
  <c r="V188" i="3" s="1"/>
  <c r="W188" i="3" s="1"/>
  <c r="U189" i="3"/>
  <c r="V189" i="3" s="1"/>
  <c r="S188" i="3"/>
  <c r="T188" i="3" s="1"/>
  <c r="D190" i="3"/>
  <c r="T220" i="13" l="1"/>
  <c r="U220" i="13" s="1"/>
  <c r="V220" i="13"/>
  <c r="W220" i="13" s="1"/>
  <c r="X220" i="13" s="1"/>
  <c r="S221" i="13"/>
  <c r="R222" i="13"/>
  <c r="M222" i="13"/>
  <c r="E221" i="13"/>
  <c r="Q222" i="13"/>
  <c r="K222" i="13"/>
  <c r="O222" i="13"/>
  <c r="J222" i="13"/>
  <c r="B222" i="13"/>
  <c r="H222" i="13" s="1"/>
  <c r="C221" i="13"/>
  <c r="D221" i="13" s="1"/>
  <c r="N222" i="13"/>
  <c r="I222" i="13"/>
  <c r="F221" i="13"/>
  <c r="G220" i="13"/>
  <c r="E75" i="10"/>
  <c r="E80" i="3"/>
  <c r="H80" i="3"/>
  <c r="P216" i="3"/>
  <c r="N216" i="3"/>
  <c r="M216" i="3"/>
  <c r="Q216" i="3"/>
  <c r="A216" i="3"/>
  <c r="F214" i="3"/>
  <c r="E214" i="3" s="1"/>
  <c r="G188" i="3"/>
  <c r="H188" i="3" s="1"/>
  <c r="L192" i="3"/>
  <c r="I192" i="3"/>
  <c r="J192" i="3"/>
  <c r="S189" i="3"/>
  <c r="T189" i="3" s="1"/>
  <c r="D191" i="3"/>
  <c r="V221" i="13" l="1"/>
  <c r="W221" i="13" s="1"/>
  <c r="X221" i="13" s="1"/>
  <c r="T221" i="13"/>
  <c r="U221" i="13" s="1"/>
  <c r="Q223" i="13"/>
  <c r="K223" i="13"/>
  <c r="O223" i="13"/>
  <c r="J223" i="13"/>
  <c r="B223" i="13"/>
  <c r="H223" i="13" s="1"/>
  <c r="C222" i="13"/>
  <c r="D222" i="13" s="1"/>
  <c r="N223" i="13"/>
  <c r="I223" i="13"/>
  <c r="F222" i="13"/>
  <c r="R223" i="13"/>
  <c r="M223" i="13"/>
  <c r="E222" i="13"/>
  <c r="G221" i="13"/>
  <c r="S222" i="13"/>
  <c r="D75" i="10"/>
  <c r="R80" i="3"/>
  <c r="J217" i="3"/>
  <c r="B216" i="3"/>
  <c r="C216" i="3" s="1"/>
  <c r="Q217" i="3"/>
  <c r="M217" i="3"/>
  <c r="P217" i="3"/>
  <c r="N217" i="3"/>
  <c r="A217" i="3"/>
  <c r="B217" i="3" s="1"/>
  <c r="C217" i="3" s="1"/>
  <c r="F215" i="3"/>
  <c r="E215" i="3" s="1"/>
  <c r="G189" i="3"/>
  <c r="H189" i="3" s="1"/>
  <c r="W189" i="3"/>
  <c r="L193" i="3"/>
  <c r="I193" i="3"/>
  <c r="R187" i="3"/>
  <c r="U190" i="3"/>
  <c r="V190" i="3" s="1"/>
  <c r="W190" i="3" s="1"/>
  <c r="S190" i="3"/>
  <c r="T190" i="3" s="1"/>
  <c r="D192" i="3"/>
  <c r="S223" i="13" l="1"/>
  <c r="V222" i="13"/>
  <c r="W222" i="13" s="1"/>
  <c r="X222" i="13" s="1"/>
  <c r="T222" i="13"/>
  <c r="U222" i="13" s="1"/>
  <c r="O224" i="13"/>
  <c r="J224" i="13"/>
  <c r="B224" i="13"/>
  <c r="H224" i="13" s="1"/>
  <c r="C223" i="13"/>
  <c r="D223" i="13" s="1"/>
  <c r="N224" i="13"/>
  <c r="I224" i="13"/>
  <c r="F223" i="13"/>
  <c r="R224" i="13"/>
  <c r="M224" i="13"/>
  <c r="E223" i="13"/>
  <c r="Q224" i="13"/>
  <c r="K224" i="13"/>
  <c r="G222" i="13"/>
  <c r="F76" i="10"/>
  <c r="Q218" i="3"/>
  <c r="P218" i="3"/>
  <c r="N218" i="3"/>
  <c r="M218" i="3"/>
  <c r="A218" i="3"/>
  <c r="B218" i="3" s="1"/>
  <c r="C218" i="3" s="1"/>
  <c r="F216" i="3"/>
  <c r="E216" i="3" s="1"/>
  <c r="G190" i="3"/>
  <c r="H190" i="3" s="1"/>
  <c r="R188" i="3"/>
  <c r="L194" i="3"/>
  <c r="I194" i="3"/>
  <c r="J194" i="3"/>
  <c r="U191" i="3"/>
  <c r="V191" i="3" s="1"/>
  <c r="W191" i="3" s="1"/>
  <c r="S191" i="3"/>
  <c r="T191" i="3" s="1"/>
  <c r="D193" i="3"/>
  <c r="N225" i="13" l="1"/>
  <c r="I225" i="13"/>
  <c r="F224" i="13"/>
  <c r="R225" i="13"/>
  <c r="M225" i="13"/>
  <c r="E224" i="13"/>
  <c r="Q225" i="13"/>
  <c r="K225" i="13"/>
  <c r="O225" i="13"/>
  <c r="J225" i="13"/>
  <c r="B225" i="13"/>
  <c r="H225" i="13" s="1"/>
  <c r="C224" i="13"/>
  <c r="D224" i="13" s="1"/>
  <c r="G223" i="13"/>
  <c r="T223" i="13"/>
  <c r="U223" i="13" s="1"/>
  <c r="V223" i="13"/>
  <c r="W223" i="13" s="1"/>
  <c r="X223" i="13" s="1"/>
  <c r="S224" i="13"/>
  <c r="E76" i="10"/>
  <c r="E81" i="3"/>
  <c r="H81" i="3"/>
  <c r="Q219" i="3"/>
  <c r="P219" i="3"/>
  <c r="N219" i="3"/>
  <c r="M219" i="3"/>
  <c r="A219" i="3"/>
  <c r="B219" i="3" s="1"/>
  <c r="C219" i="3" s="1"/>
  <c r="F217" i="3"/>
  <c r="E217" i="3" s="1"/>
  <c r="G191" i="3"/>
  <c r="H191" i="3" s="1"/>
  <c r="J195" i="3"/>
  <c r="L195" i="3"/>
  <c r="I195" i="3"/>
  <c r="R189" i="3"/>
  <c r="S192" i="3"/>
  <c r="T192" i="3" s="1"/>
  <c r="U192" i="3"/>
  <c r="V192" i="3" s="1"/>
  <c r="W192" i="3" s="1"/>
  <c r="D194" i="3"/>
  <c r="T224" i="13" l="1"/>
  <c r="U224" i="13" s="1"/>
  <c r="V224" i="13"/>
  <c r="W224" i="13" s="1"/>
  <c r="X224" i="13" s="1"/>
  <c r="S225" i="13"/>
  <c r="R226" i="13"/>
  <c r="M226" i="13"/>
  <c r="E225" i="13"/>
  <c r="Q226" i="13"/>
  <c r="K226" i="13"/>
  <c r="O226" i="13"/>
  <c r="J226" i="13"/>
  <c r="B226" i="13"/>
  <c r="H226" i="13" s="1"/>
  <c r="C225" i="13"/>
  <c r="D225" i="13" s="1"/>
  <c r="N226" i="13"/>
  <c r="I226" i="13"/>
  <c r="F225" i="13"/>
  <c r="G224" i="13"/>
  <c r="D76" i="10"/>
  <c r="R81" i="3"/>
  <c r="P220" i="3"/>
  <c r="N220" i="3"/>
  <c r="M220" i="3"/>
  <c r="Q220" i="3"/>
  <c r="A220" i="3"/>
  <c r="B220" i="3" s="1"/>
  <c r="C220" i="3" s="1"/>
  <c r="F218" i="3"/>
  <c r="G192" i="3"/>
  <c r="H192" i="3" s="1"/>
  <c r="K193" i="3"/>
  <c r="R190" i="3"/>
  <c r="L196" i="3"/>
  <c r="I196" i="3"/>
  <c r="J196" i="3"/>
  <c r="U193" i="3"/>
  <c r="V193" i="3" s="1"/>
  <c r="W193" i="3" s="1"/>
  <c r="S193" i="3"/>
  <c r="T193" i="3" s="1"/>
  <c r="G193" i="3" s="1"/>
  <c r="H193" i="3" s="1"/>
  <c r="D195" i="3"/>
  <c r="V225" i="13" l="1"/>
  <c r="W225" i="13" s="1"/>
  <c r="X225" i="13" s="1"/>
  <c r="T225" i="13"/>
  <c r="U225" i="13" s="1"/>
  <c r="Q227" i="13"/>
  <c r="K227" i="13"/>
  <c r="O227" i="13"/>
  <c r="J227" i="13"/>
  <c r="B227" i="13"/>
  <c r="H227" i="13" s="1"/>
  <c r="C226" i="13"/>
  <c r="D226" i="13" s="1"/>
  <c r="N227" i="13"/>
  <c r="I227" i="13"/>
  <c r="F226" i="13"/>
  <c r="R227" i="13"/>
  <c r="M227" i="13"/>
  <c r="E226" i="13"/>
  <c r="G225" i="13"/>
  <c r="S226" i="13"/>
  <c r="F77" i="10"/>
  <c r="E218" i="3"/>
  <c r="Q221" i="3"/>
  <c r="M221" i="3"/>
  <c r="P221" i="3"/>
  <c r="N221" i="3"/>
  <c r="A221" i="3"/>
  <c r="B221" i="3" s="1"/>
  <c r="C221" i="3" s="1"/>
  <c r="F219" i="3"/>
  <c r="Y16" i="3"/>
  <c r="Z16" i="3" s="1"/>
  <c r="R192" i="3"/>
  <c r="R191" i="3"/>
  <c r="J197" i="3"/>
  <c r="L197" i="3"/>
  <c r="I197" i="3"/>
  <c r="U194" i="3"/>
  <c r="V194" i="3" s="1"/>
  <c r="W194" i="3" s="1"/>
  <c r="S194" i="3"/>
  <c r="T194" i="3" s="1"/>
  <c r="D196" i="3"/>
  <c r="S227" i="13" l="1"/>
  <c r="V226" i="13"/>
  <c r="W226" i="13" s="1"/>
  <c r="X226" i="13" s="1"/>
  <c r="T226" i="13"/>
  <c r="U226" i="13" s="1"/>
  <c r="O228" i="13"/>
  <c r="J228" i="13"/>
  <c r="B228" i="13"/>
  <c r="H228" i="13" s="1"/>
  <c r="C227" i="13"/>
  <c r="D227" i="13" s="1"/>
  <c r="N228" i="13"/>
  <c r="I228" i="13"/>
  <c r="F227" i="13"/>
  <c r="R228" i="13"/>
  <c r="M228" i="13"/>
  <c r="E227" i="13"/>
  <c r="Q228" i="13"/>
  <c r="K228" i="13"/>
  <c r="G226" i="13"/>
  <c r="E77" i="10"/>
  <c r="E82" i="3"/>
  <c r="H82" i="3"/>
  <c r="E219" i="3"/>
  <c r="Q222" i="3"/>
  <c r="P222" i="3"/>
  <c r="N222" i="3"/>
  <c r="M222" i="3"/>
  <c r="A222" i="3"/>
  <c r="B222" i="3" s="1"/>
  <c r="C222" i="3" s="1"/>
  <c r="F220" i="3"/>
  <c r="E220" i="3" s="1"/>
  <c r="G194" i="3"/>
  <c r="H194" i="3" s="1"/>
  <c r="L198" i="3"/>
  <c r="I198" i="3"/>
  <c r="J198" i="3"/>
  <c r="U195" i="3"/>
  <c r="V195" i="3" s="1"/>
  <c r="W195" i="3" s="1"/>
  <c r="S195" i="3"/>
  <c r="T195" i="3" s="1"/>
  <c r="D197" i="3"/>
  <c r="T227" i="13" l="1"/>
  <c r="U227" i="13" s="1"/>
  <c r="V227" i="13"/>
  <c r="W227" i="13" s="1"/>
  <c r="X227" i="13" s="1"/>
  <c r="R229" i="13"/>
  <c r="M229" i="13"/>
  <c r="I229" i="13"/>
  <c r="F228" i="13"/>
  <c r="Q229" i="13"/>
  <c r="E228" i="13"/>
  <c r="O229" i="13"/>
  <c r="N229" i="13"/>
  <c r="J229" i="13"/>
  <c r="B229" i="13"/>
  <c r="H229" i="13" s="1"/>
  <c r="C228" i="13"/>
  <c r="D228" i="13" s="1"/>
  <c r="L229" i="13"/>
  <c r="K229" i="13"/>
  <c r="G227" i="13"/>
  <c r="S228" i="13"/>
  <c r="D77" i="10"/>
  <c r="R82" i="3"/>
  <c r="Q223" i="3"/>
  <c r="P223" i="3"/>
  <c r="N223" i="3"/>
  <c r="M223" i="3"/>
  <c r="A223" i="3"/>
  <c r="B223" i="3" s="1"/>
  <c r="C223" i="3" s="1"/>
  <c r="F221" i="3"/>
  <c r="E221" i="3" s="1"/>
  <c r="G195" i="3"/>
  <c r="H195" i="3" s="1"/>
  <c r="R193" i="3"/>
  <c r="J199" i="3"/>
  <c r="L199" i="3"/>
  <c r="I199" i="3"/>
  <c r="U196" i="3"/>
  <c r="V196" i="3" s="1"/>
  <c r="W196" i="3" s="1"/>
  <c r="S196" i="3"/>
  <c r="T196" i="3" s="1"/>
  <c r="D198" i="3"/>
  <c r="Q230" i="13" l="1"/>
  <c r="K230" i="13"/>
  <c r="E229" i="13"/>
  <c r="O230" i="13"/>
  <c r="J230" i="13"/>
  <c r="B230" i="13"/>
  <c r="N230" i="13"/>
  <c r="I230" i="13"/>
  <c r="C229" i="13"/>
  <c r="D229" i="13" s="1"/>
  <c r="R230" i="13"/>
  <c r="M230" i="13"/>
  <c r="H230" i="13"/>
  <c r="F229" i="13"/>
  <c r="G228" i="13"/>
  <c r="T228" i="13"/>
  <c r="U228" i="13" s="1"/>
  <c r="V228" i="13"/>
  <c r="W228" i="13" s="1"/>
  <c r="X228" i="13" s="1"/>
  <c r="S229" i="13"/>
  <c r="F78" i="10"/>
  <c r="P224" i="3"/>
  <c r="N224" i="3"/>
  <c r="M224" i="3"/>
  <c r="Q224" i="3"/>
  <c r="A224" i="3"/>
  <c r="B224" i="3" s="1"/>
  <c r="C224" i="3" s="1"/>
  <c r="F222" i="3"/>
  <c r="E222" i="3" s="1"/>
  <c r="G196" i="3"/>
  <c r="H196" i="3" s="1"/>
  <c r="R194" i="3"/>
  <c r="L200" i="3"/>
  <c r="I200" i="3"/>
  <c r="J200" i="3"/>
  <c r="U197" i="3"/>
  <c r="V197" i="3" s="1"/>
  <c r="S197" i="3"/>
  <c r="T197" i="3" s="1"/>
  <c r="D199" i="3"/>
  <c r="O231" i="13" l="1"/>
  <c r="J231" i="13"/>
  <c r="B231" i="13"/>
  <c r="H231" i="13" s="1"/>
  <c r="C230" i="13"/>
  <c r="D230" i="13" s="1"/>
  <c r="N231" i="13"/>
  <c r="I231" i="13"/>
  <c r="F230" i="13"/>
  <c r="R231" i="13"/>
  <c r="M231" i="13"/>
  <c r="E230" i="13"/>
  <c r="Q231" i="13"/>
  <c r="K231" i="13"/>
  <c r="G229" i="13"/>
  <c r="V229" i="13"/>
  <c r="W229" i="13" s="1"/>
  <c r="X229" i="13" s="1"/>
  <c r="T229" i="13"/>
  <c r="U229" i="13" s="1"/>
  <c r="S230" i="13"/>
  <c r="E78" i="10"/>
  <c r="H83" i="3"/>
  <c r="E83" i="3"/>
  <c r="Q225" i="3"/>
  <c r="M225" i="3"/>
  <c r="P225" i="3"/>
  <c r="N225" i="3"/>
  <c r="A225" i="3"/>
  <c r="B225" i="3" s="1"/>
  <c r="C225" i="3" s="1"/>
  <c r="F223" i="3"/>
  <c r="E223" i="3" s="1"/>
  <c r="G197" i="3"/>
  <c r="H197" i="3" s="1"/>
  <c r="W197" i="3"/>
  <c r="R196" i="3"/>
  <c r="R195" i="3"/>
  <c r="J201" i="3"/>
  <c r="L201" i="3"/>
  <c r="I201" i="3"/>
  <c r="S198" i="3"/>
  <c r="T198" i="3" s="1"/>
  <c r="U198" i="3"/>
  <c r="V198" i="3" s="1"/>
  <c r="W198" i="3" s="1"/>
  <c r="S199" i="3"/>
  <c r="T199" i="3" s="1"/>
  <c r="G199" i="3" s="1"/>
  <c r="H199" i="3" s="1"/>
  <c r="U199" i="3"/>
  <c r="V199" i="3" s="1"/>
  <c r="D200" i="3"/>
  <c r="N232" i="13" l="1"/>
  <c r="I232" i="13"/>
  <c r="F231" i="13"/>
  <c r="R232" i="13"/>
  <c r="M232" i="13"/>
  <c r="E231" i="13"/>
  <c r="Q232" i="13"/>
  <c r="K232" i="13"/>
  <c r="O232" i="13"/>
  <c r="J232" i="13"/>
  <c r="B232" i="13"/>
  <c r="H232" i="13" s="1"/>
  <c r="C231" i="13"/>
  <c r="D231" i="13" s="1"/>
  <c r="G230" i="13"/>
  <c r="S231" i="13"/>
  <c r="T230" i="13"/>
  <c r="U230" i="13" s="1"/>
  <c r="V230" i="13"/>
  <c r="W230" i="13" s="1"/>
  <c r="X230" i="13" s="1"/>
  <c r="D78" i="10"/>
  <c r="R83" i="3"/>
  <c r="Q226" i="3"/>
  <c r="P226" i="3"/>
  <c r="N226" i="3"/>
  <c r="M226" i="3"/>
  <c r="A226" i="3"/>
  <c r="B226" i="3" s="1"/>
  <c r="C226" i="3" s="1"/>
  <c r="F224" i="3"/>
  <c r="E224" i="3" s="1"/>
  <c r="G198" i="3"/>
  <c r="H198" i="3" s="1"/>
  <c r="R197" i="3"/>
  <c r="W199" i="3"/>
  <c r="L202" i="3"/>
  <c r="I202" i="3"/>
  <c r="J202" i="3"/>
  <c r="U200" i="3"/>
  <c r="V200" i="3" s="1"/>
  <c r="S200" i="3"/>
  <c r="T200" i="3" s="1"/>
  <c r="D201" i="3"/>
  <c r="T231" i="13" l="1"/>
  <c r="U231" i="13" s="1"/>
  <c r="V231" i="13"/>
  <c r="W231" i="13" s="1"/>
  <c r="X231" i="13" s="1"/>
  <c r="S232" i="13"/>
  <c r="R233" i="13"/>
  <c r="M233" i="13"/>
  <c r="E232" i="13"/>
  <c r="Q233" i="13"/>
  <c r="K233" i="13"/>
  <c r="O233" i="13"/>
  <c r="J233" i="13"/>
  <c r="B233" i="13"/>
  <c r="H233" i="13" s="1"/>
  <c r="C232" i="13"/>
  <c r="D232" i="13" s="1"/>
  <c r="N233" i="13"/>
  <c r="I233" i="13"/>
  <c r="F232" i="13"/>
  <c r="G231" i="13"/>
  <c r="F79" i="10"/>
  <c r="Q227" i="3"/>
  <c r="P227" i="3"/>
  <c r="N227" i="3"/>
  <c r="M227" i="3"/>
  <c r="A227" i="3"/>
  <c r="B227" i="3" s="1"/>
  <c r="C227" i="3" s="1"/>
  <c r="F225" i="3"/>
  <c r="E225" i="3" s="1"/>
  <c r="G200" i="3"/>
  <c r="H200" i="3" s="1"/>
  <c r="W200" i="3"/>
  <c r="J203" i="3"/>
  <c r="L203" i="3"/>
  <c r="I203" i="3"/>
  <c r="D202" i="3"/>
  <c r="V232" i="13" l="1"/>
  <c r="W232" i="13" s="1"/>
  <c r="X232" i="13" s="1"/>
  <c r="T232" i="13"/>
  <c r="U232" i="13" s="1"/>
  <c r="O234" i="13"/>
  <c r="J234" i="13"/>
  <c r="B234" i="13"/>
  <c r="H234" i="13" s="1"/>
  <c r="N234" i="13"/>
  <c r="I234" i="13"/>
  <c r="R234" i="13"/>
  <c r="M234" i="13"/>
  <c r="Q234" i="13"/>
  <c r="K234" i="13"/>
  <c r="C233" i="13"/>
  <c r="D233" i="13" s="1"/>
  <c r="F233" i="13"/>
  <c r="E233" i="13"/>
  <c r="G232" i="13"/>
  <c r="S233" i="13"/>
  <c r="H84" i="3"/>
  <c r="E79" i="10"/>
  <c r="E84" i="3"/>
  <c r="P228" i="3"/>
  <c r="N228" i="3"/>
  <c r="M228" i="3"/>
  <c r="Q228" i="3"/>
  <c r="A228" i="3"/>
  <c r="F226" i="3"/>
  <c r="E226" i="3" s="1"/>
  <c r="R198" i="3"/>
  <c r="L204" i="3"/>
  <c r="I204" i="3"/>
  <c r="J204" i="3"/>
  <c r="R199" i="3"/>
  <c r="S201" i="3"/>
  <c r="T201" i="3" s="1"/>
  <c r="U201" i="3"/>
  <c r="V201" i="3" s="1"/>
  <c r="D203" i="3"/>
  <c r="S234" i="13" l="1"/>
  <c r="V233" i="13"/>
  <c r="W233" i="13" s="1"/>
  <c r="X233" i="13" s="1"/>
  <c r="T233" i="13"/>
  <c r="U233" i="13" s="1"/>
  <c r="N235" i="13"/>
  <c r="I235" i="13"/>
  <c r="F234" i="13"/>
  <c r="R235" i="13"/>
  <c r="M235" i="13"/>
  <c r="Q235" i="13"/>
  <c r="K235" i="13"/>
  <c r="O235" i="13"/>
  <c r="J235" i="13"/>
  <c r="B235" i="13"/>
  <c r="C234" i="13"/>
  <c r="D234" i="13" s="1"/>
  <c r="E234" i="13"/>
  <c r="G233" i="13"/>
  <c r="D79" i="10"/>
  <c r="K85" i="3"/>
  <c r="O81" i="12" s="1"/>
  <c r="J205" i="3"/>
  <c r="J229" i="3"/>
  <c r="B228" i="3"/>
  <c r="C228" i="3" s="1"/>
  <c r="Q229" i="3"/>
  <c r="M229" i="3"/>
  <c r="P229" i="3"/>
  <c r="N229" i="3"/>
  <c r="A229" i="3"/>
  <c r="B229" i="3" s="1"/>
  <c r="C229" i="3" s="1"/>
  <c r="F227" i="3"/>
  <c r="E227" i="3" s="1"/>
  <c r="G201" i="3"/>
  <c r="H201" i="3" s="1"/>
  <c r="W201" i="3"/>
  <c r="L205" i="3"/>
  <c r="I205" i="3"/>
  <c r="R200" i="3"/>
  <c r="S202" i="3"/>
  <c r="T202" i="3" s="1"/>
  <c r="S203" i="3"/>
  <c r="T203" i="3" s="1"/>
  <c r="U202" i="3"/>
  <c r="V202" i="3" s="1"/>
  <c r="W202" i="3" s="1"/>
  <c r="D204" i="3"/>
  <c r="T234" i="13" l="1"/>
  <c r="U234" i="13" s="1"/>
  <c r="V234" i="13"/>
  <c r="W234" i="13" s="1"/>
  <c r="X234" i="13" s="1"/>
  <c r="R236" i="13"/>
  <c r="M236" i="13"/>
  <c r="E235" i="13"/>
  <c r="Q236" i="13"/>
  <c r="K236" i="13"/>
  <c r="O236" i="13"/>
  <c r="J236" i="13"/>
  <c r="B236" i="13"/>
  <c r="H236" i="13" s="1"/>
  <c r="C235" i="13"/>
  <c r="D235" i="13" s="1"/>
  <c r="N236" i="13"/>
  <c r="I236" i="13"/>
  <c r="F235" i="13"/>
  <c r="G234" i="13"/>
  <c r="H235" i="13"/>
  <c r="S235" i="13"/>
  <c r="Y7" i="3"/>
  <c r="Z7" i="3" s="1"/>
  <c r="O80" i="10"/>
  <c r="F80" i="10"/>
  <c r="Q230" i="3"/>
  <c r="P230" i="3"/>
  <c r="N230" i="3"/>
  <c r="M230" i="3"/>
  <c r="A230" i="3"/>
  <c r="B230" i="3" s="1"/>
  <c r="C230" i="3" s="1"/>
  <c r="F228" i="3"/>
  <c r="E228" i="3" s="1"/>
  <c r="G202" i="3"/>
  <c r="H202" i="3" s="1"/>
  <c r="L206" i="3"/>
  <c r="I206" i="3"/>
  <c r="J206" i="3"/>
  <c r="U203" i="3"/>
  <c r="V203" i="3" s="1"/>
  <c r="D205" i="3"/>
  <c r="Q237" i="13" l="1"/>
  <c r="K237" i="13"/>
  <c r="O237" i="13"/>
  <c r="J237" i="13"/>
  <c r="B237" i="13"/>
  <c r="C236" i="13"/>
  <c r="D236" i="13" s="1"/>
  <c r="N237" i="13"/>
  <c r="I237" i="13"/>
  <c r="F236" i="13"/>
  <c r="R237" i="13"/>
  <c r="M237" i="13"/>
  <c r="E236" i="13"/>
  <c r="G235" i="13"/>
  <c r="S236" i="13"/>
  <c r="V235" i="13"/>
  <c r="W235" i="13" s="1"/>
  <c r="X235" i="13" s="1"/>
  <c r="T235" i="13"/>
  <c r="U235" i="13" s="1"/>
  <c r="F86" i="3"/>
  <c r="F104" i="3"/>
  <c r="E80" i="10"/>
  <c r="E85" i="3"/>
  <c r="Q231" i="3"/>
  <c r="P231" i="3"/>
  <c r="N231" i="3"/>
  <c r="M231" i="3"/>
  <c r="A231" i="3"/>
  <c r="B231" i="3" s="1"/>
  <c r="C231" i="3" s="1"/>
  <c r="F229" i="3"/>
  <c r="E229" i="3" s="1"/>
  <c r="R202" i="3"/>
  <c r="W203" i="3"/>
  <c r="G203" i="3" s="1"/>
  <c r="H203" i="3" s="1"/>
  <c r="J207" i="3"/>
  <c r="L207" i="3"/>
  <c r="I207" i="3"/>
  <c r="R201" i="3"/>
  <c r="S204" i="3"/>
  <c r="T204" i="3" s="1"/>
  <c r="U205" i="3"/>
  <c r="V205" i="3" s="1"/>
  <c r="U204" i="3"/>
  <c r="V204" i="3" s="1"/>
  <c r="W204" i="3" s="1"/>
  <c r="D206" i="3"/>
  <c r="V236" i="13" l="1"/>
  <c r="W236" i="13" s="1"/>
  <c r="X236" i="13" s="1"/>
  <c r="T236" i="13"/>
  <c r="U236" i="13" s="1"/>
  <c r="O238" i="13"/>
  <c r="J238" i="13"/>
  <c r="B238" i="13"/>
  <c r="H238" i="13" s="1"/>
  <c r="C237" i="13"/>
  <c r="D237" i="13" s="1"/>
  <c r="N238" i="13"/>
  <c r="I238" i="13"/>
  <c r="F237" i="13"/>
  <c r="R238" i="13"/>
  <c r="M238" i="13"/>
  <c r="E237" i="13"/>
  <c r="Q238" i="13"/>
  <c r="K238" i="13"/>
  <c r="G236" i="13"/>
  <c r="H237" i="13"/>
  <c r="S237" i="13"/>
  <c r="P86" i="3"/>
  <c r="E86" i="3"/>
  <c r="G86" i="3"/>
  <c r="F105" i="3"/>
  <c r="E105" i="3" s="1"/>
  <c r="P232" i="3"/>
  <c r="N232" i="3"/>
  <c r="M232" i="3"/>
  <c r="Q232" i="3"/>
  <c r="A232" i="3"/>
  <c r="B232" i="3" s="1"/>
  <c r="C232" i="3" s="1"/>
  <c r="F230" i="3"/>
  <c r="E230" i="3" s="1"/>
  <c r="G204" i="3"/>
  <c r="H204" i="3" s="1"/>
  <c r="P205" i="3" s="1"/>
  <c r="K205" i="3"/>
  <c r="L208" i="3"/>
  <c r="I208" i="3"/>
  <c r="J208" i="3"/>
  <c r="S205" i="3"/>
  <c r="T205" i="3" s="1"/>
  <c r="S206" i="3"/>
  <c r="T206" i="3" s="1"/>
  <c r="D207" i="3"/>
  <c r="S238" i="13" l="1"/>
  <c r="T237" i="13"/>
  <c r="U237" i="13" s="1"/>
  <c r="V237" i="13"/>
  <c r="W237" i="13" s="1"/>
  <c r="X237" i="13" s="1"/>
  <c r="N239" i="13"/>
  <c r="I239" i="13"/>
  <c r="F238" i="13"/>
  <c r="R239" i="13"/>
  <c r="M239" i="13"/>
  <c r="E238" i="13"/>
  <c r="Q239" i="13"/>
  <c r="K239" i="13"/>
  <c r="O239" i="13"/>
  <c r="J239" i="13"/>
  <c r="B239" i="13"/>
  <c r="H239" i="13" s="1"/>
  <c r="C238" i="13"/>
  <c r="D238" i="13" s="1"/>
  <c r="G237" i="13"/>
  <c r="H86" i="3"/>
  <c r="Q86" i="3"/>
  <c r="E87" i="3"/>
  <c r="G87" i="3"/>
  <c r="H87" i="3" s="1"/>
  <c r="R87" i="3" s="1"/>
  <c r="Q233" i="3"/>
  <c r="M233" i="3"/>
  <c r="P233" i="3"/>
  <c r="N233" i="3"/>
  <c r="A233" i="3"/>
  <c r="B233" i="3" s="1"/>
  <c r="C233" i="3" s="1"/>
  <c r="F231" i="3"/>
  <c r="E231" i="3" s="1"/>
  <c r="G205" i="3"/>
  <c r="Y17" i="3"/>
  <c r="Z17" i="3" s="1"/>
  <c r="W205" i="3"/>
  <c r="R203" i="3"/>
  <c r="J209" i="3"/>
  <c r="L209" i="3"/>
  <c r="I209" i="3"/>
  <c r="U206" i="3"/>
  <c r="V206" i="3" s="1"/>
  <c r="D208" i="3"/>
  <c r="S207" i="3"/>
  <c r="T207" i="3" s="1"/>
  <c r="U207" i="3"/>
  <c r="V207" i="3" s="1"/>
  <c r="R240" i="13" l="1"/>
  <c r="M240" i="13"/>
  <c r="E239" i="13"/>
  <c r="Q240" i="13"/>
  <c r="K240" i="13"/>
  <c r="O240" i="13"/>
  <c r="J240" i="13"/>
  <c r="B240" i="13"/>
  <c r="H240" i="13" s="1"/>
  <c r="C239" i="13"/>
  <c r="D239" i="13" s="1"/>
  <c r="N240" i="13"/>
  <c r="I240" i="13"/>
  <c r="F239" i="13"/>
  <c r="G238" i="13"/>
  <c r="T238" i="13"/>
  <c r="U238" i="13" s="1"/>
  <c r="V238" i="13"/>
  <c r="W238" i="13" s="1"/>
  <c r="X238" i="13" s="1"/>
  <c r="S239" i="13"/>
  <c r="D81" i="10"/>
  <c r="D82" i="12"/>
  <c r="R86" i="3"/>
  <c r="E88" i="3"/>
  <c r="G88" i="3"/>
  <c r="H88" i="3" s="1"/>
  <c r="R88" i="3" s="1"/>
  <c r="H205" i="3"/>
  <c r="Q205" i="3"/>
  <c r="Q234" i="3"/>
  <c r="P234" i="3"/>
  <c r="N234" i="3"/>
  <c r="M234" i="3"/>
  <c r="G207" i="3"/>
  <c r="H207" i="3" s="1"/>
  <c r="A234" i="3"/>
  <c r="B234" i="3" s="1"/>
  <c r="C234" i="3" s="1"/>
  <c r="F232" i="3"/>
  <c r="E232" i="3" s="1"/>
  <c r="G206" i="3"/>
  <c r="H206" i="3" s="1"/>
  <c r="W207" i="3"/>
  <c r="W206" i="3"/>
  <c r="R204" i="3"/>
  <c r="L210" i="3"/>
  <c r="I210" i="3"/>
  <c r="J210" i="3"/>
  <c r="U208" i="3"/>
  <c r="V208" i="3" s="1"/>
  <c r="D209" i="3"/>
  <c r="V239" i="13" l="1"/>
  <c r="W239" i="13" s="1"/>
  <c r="X239" i="13" s="1"/>
  <c r="T239" i="13"/>
  <c r="U239" i="13" s="1"/>
  <c r="O241" i="13"/>
  <c r="N241" i="13"/>
  <c r="J241" i="13"/>
  <c r="B241" i="13"/>
  <c r="C240" i="13"/>
  <c r="D240" i="13" s="1"/>
  <c r="R241" i="13"/>
  <c r="M241" i="13"/>
  <c r="I241" i="13"/>
  <c r="F240" i="13"/>
  <c r="Q241" i="13"/>
  <c r="E240" i="13"/>
  <c r="L241" i="13"/>
  <c r="K241" i="13"/>
  <c r="G239" i="13"/>
  <c r="S240" i="13"/>
  <c r="E89" i="3"/>
  <c r="G89" i="3"/>
  <c r="H89" i="3" s="1"/>
  <c r="R89" i="3" s="1"/>
  <c r="Q235" i="3"/>
  <c r="P235" i="3"/>
  <c r="N235" i="3"/>
  <c r="M235" i="3"/>
  <c r="A235" i="3"/>
  <c r="B235" i="3" s="1"/>
  <c r="C235" i="3" s="1"/>
  <c r="F233" i="3"/>
  <c r="E233" i="3" s="1"/>
  <c r="R205" i="3"/>
  <c r="J211" i="3"/>
  <c r="L211" i="3"/>
  <c r="I211" i="3"/>
  <c r="S208" i="3"/>
  <c r="T208" i="3" s="1"/>
  <c r="S209" i="3"/>
  <c r="T209" i="3" s="1"/>
  <c r="D210" i="3"/>
  <c r="S241" i="13" l="1"/>
  <c r="N242" i="13"/>
  <c r="I242" i="13"/>
  <c r="C241" i="13"/>
  <c r="D241" i="13" s="1"/>
  <c r="R242" i="13"/>
  <c r="M242" i="13"/>
  <c r="F241" i="13"/>
  <c r="Q242" i="13"/>
  <c r="K242" i="13"/>
  <c r="E241" i="13"/>
  <c r="O242" i="13"/>
  <c r="J242" i="13"/>
  <c r="B242" i="13"/>
  <c r="G240" i="13"/>
  <c r="H241" i="13"/>
  <c r="V240" i="13"/>
  <c r="W240" i="13" s="1"/>
  <c r="X240" i="13" s="1"/>
  <c r="T240" i="13"/>
  <c r="U240" i="13" s="1"/>
  <c r="E90" i="3"/>
  <c r="G90" i="3"/>
  <c r="H90" i="3" s="1"/>
  <c r="R90" i="3" s="1"/>
  <c r="P236" i="3"/>
  <c r="N236" i="3"/>
  <c r="M236" i="3"/>
  <c r="Q236" i="3"/>
  <c r="A236" i="3"/>
  <c r="B236" i="3" s="1"/>
  <c r="C236" i="3" s="1"/>
  <c r="F234" i="3"/>
  <c r="E234" i="3" s="1"/>
  <c r="G208" i="3"/>
  <c r="H208" i="3" s="1"/>
  <c r="W208" i="3"/>
  <c r="L212" i="3"/>
  <c r="I212" i="3"/>
  <c r="J212" i="3"/>
  <c r="R207" i="3"/>
  <c r="R206" i="3"/>
  <c r="U209" i="3"/>
  <c r="V209" i="3" s="1"/>
  <c r="D211" i="3"/>
  <c r="S210" i="3"/>
  <c r="T210" i="3" s="1"/>
  <c r="U210" i="3"/>
  <c r="V210" i="3" s="1"/>
  <c r="T241" i="13" l="1"/>
  <c r="U241" i="13" s="1"/>
  <c r="V241" i="13"/>
  <c r="W241" i="13" s="1"/>
  <c r="X241" i="13" s="1"/>
  <c r="R243" i="13"/>
  <c r="M243" i="13"/>
  <c r="E242" i="13"/>
  <c r="Q243" i="13"/>
  <c r="K243" i="13"/>
  <c r="O243" i="13"/>
  <c r="J243" i="13"/>
  <c r="B243" i="13"/>
  <c r="H243" i="13" s="1"/>
  <c r="C242" i="13"/>
  <c r="D242" i="13" s="1"/>
  <c r="N243" i="13"/>
  <c r="I243" i="13"/>
  <c r="F242" i="13"/>
  <c r="G241" i="13"/>
  <c r="H242" i="13"/>
  <c r="S242" i="13"/>
  <c r="E91" i="3"/>
  <c r="G91" i="3"/>
  <c r="H91" i="3" s="1"/>
  <c r="R91" i="3" s="1"/>
  <c r="Q237" i="3"/>
  <c r="M237" i="3"/>
  <c r="P237" i="3"/>
  <c r="N237" i="3"/>
  <c r="A237" i="3"/>
  <c r="B237" i="3" s="1"/>
  <c r="C237" i="3" s="1"/>
  <c r="F235" i="3"/>
  <c r="E235" i="3" s="1"/>
  <c r="G210" i="3"/>
  <c r="H210" i="3" s="1"/>
  <c r="G209" i="3"/>
  <c r="H209" i="3" s="1"/>
  <c r="W210" i="3"/>
  <c r="W209" i="3"/>
  <c r="J213" i="3"/>
  <c r="L213" i="3"/>
  <c r="I213" i="3"/>
  <c r="D212" i="3"/>
  <c r="S243" i="13" l="1"/>
  <c r="V242" i="13"/>
  <c r="W242" i="13" s="1"/>
  <c r="X242" i="13" s="1"/>
  <c r="T242" i="13"/>
  <c r="U242" i="13" s="1"/>
  <c r="Q244" i="13"/>
  <c r="K244" i="13"/>
  <c r="O244" i="13"/>
  <c r="J244" i="13"/>
  <c r="B244" i="13"/>
  <c r="H244" i="13" s="1"/>
  <c r="C243" i="13"/>
  <c r="D243" i="13" s="1"/>
  <c r="N244" i="13"/>
  <c r="I244" i="13"/>
  <c r="F243" i="13"/>
  <c r="R244" i="13"/>
  <c r="M244" i="13"/>
  <c r="E243" i="13"/>
  <c r="G242" i="13"/>
  <c r="E92" i="3"/>
  <c r="G92" i="3"/>
  <c r="H92" i="3" s="1"/>
  <c r="R92" i="3" s="1"/>
  <c r="Q238" i="3"/>
  <c r="P238" i="3"/>
  <c r="N238" i="3"/>
  <c r="M238" i="3"/>
  <c r="A238" i="3"/>
  <c r="B238" i="3" s="1"/>
  <c r="C238" i="3" s="1"/>
  <c r="F236" i="3"/>
  <c r="E236" i="3" s="1"/>
  <c r="L214" i="3"/>
  <c r="I214" i="3"/>
  <c r="J214" i="3"/>
  <c r="R208" i="3"/>
  <c r="U211" i="3"/>
  <c r="V211" i="3" s="1"/>
  <c r="W211" i="3" s="1"/>
  <c r="S211" i="3"/>
  <c r="T211" i="3" s="1"/>
  <c r="G211" i="3" s="1"/>
  <c r="H211" i="3" s="1"/>
  <c r="D213" i="3"/>
  <c r="V243" i="13" l="1"/>
  <c r="W243" i="13" s="1"/>
  <c r="X243" i="13" s="1"/>
  <c r="T243" i="13"/>
  <c r="U243" i="13" s="1"/>
  <c r="O245" i="13"/>
  <c r="J245" i="13"/>
  <c r="B245" i="13"/>
  <c r="H245" i="13" s="1"/>
  <c r="C244" i="13"/>
  <c r="D244" i="13" s="1"/>
  <c r="N245" i="13"/>
  <c r="I245" i="13"/>
  <c r="F244" i="13"/>
  <c r="R245" i="13"/>
  <c r="M245" i="13"/>
  <c r="E244" i="13"/>
  <c r="Q245" i="13"/>
  <c r="K245" i="13"/>
  <c r="G243" i="13"/>
  <c r="S244" i="13"/>
  <c r="E93" i="3"/>
  <c r="G93" i="3"/>
  <c r="H93" i="3" s="1"/>
  <c r="R93" i="3" s="1"/>
  <c r="Q239" i="3"/>
  <c r="P239" i="3"/>
  <c r="N239" i="3"/>
  <c r="M239" i="3"/>
  <c r="A239" i="3"/>
  <c r="B239" i="3" s="1"/>
  <c r="C239" i="3" s="1"/>
  <c r="F237" i="3"/>
  <c r="E237" i="3" s="1"/>
  <c r="U212" i="3"/>
  <c r="V212" i="3" s="1"/>
  <c r="W212" i="3" s="1"/>
  <c r="J215" i="3"/>
  <c r="L215" i="3"/>
  <c r="I215" i="3"/>
  <c r="R209" i="3"/>
  <c r="R210" i="3"/>
  <c r="S212" i="3"/>
  <c r="T212" i="3" s="1"/>
  <c r="G212" i="3" s="1"/>
  <c r="H212" i="3" s="1"/>
  <c r="U213" i="3"/>
  <c r="V213" i="3" s="1"/>
  <c r="D214" i="3"/>
  <c r="T244" i="13" l="1"/>
  <c r="U244" i="13" s="1"/>
  <c r="V244" i="13"/>
  <c r="W244" i="13" s="1"/>
  <c r="X244" i="13" s="1"/>
  <c r="N246" i="13"/>
  <c r="I246" i="13"/>
  <c r="F245" i="13"/>
  <c r="R246" i="13"/>
  <c r="M246" i="13"/>
  <c r="E245" i="13"/>
  <c r="Q246" i="13"/>
  <c r="K246" i="13"/>
  <c r="O246" i="13"/>
  <c r="J246" i="13"/>
  <c r="B246" i="13"/>
  <c r="H246" i="13" s="1"/>
  <c r="C245" i="13"/>
  <c r="D245" i="13" s="1"/>
  <c r="G244" i="13"/>
  <c r="S245" i="13"/>
  <c r="E94" i="3"/>
  <c r="G94" i="3"/>
  <c r="H94" i="3" s="1"/>
  <c r="R94" i="3" s="1"/>
  <c r="P240" i="3"/>
  <c r="N240" i="3"/>
  <c r="M240" i="3"/>
  <c r="Q240" i="3"/>
  <c r="A240" i="3"/>
  <c r="F238" i="3"/>
  <c r="E238" i="3" s="1"/>
  <c r="L216" i="3"/>
  <c r="I216" i="3"/>
  <c r="J216" i="3"/>
  <c r="S213" i="3"/>
  <c r="T213" i="3" s="1"/>
  <c r="U214" i="3"/>
  <c r="V214" i="3" s="1"/>
  <c r="D215" i="3"/>
  <c r="R247" i="13" l="1"/>
  <c r="M247" i="13"/>
  <c r="E246" i="13"/>
  <c r="Q247" i="13"/>
  <c r="K247" i="13"/>
  <c r="O247" i="13"/>
  <c r="J247" i="13"/>
  <c r="B247" i="13"/>
  <c r="H247" i="13" s="1"/>
  <c r="C246" i="13"/>
  <c r="D246" i="13" s="1"/>
  <c r="N247" i="13"/>
  <c r="I247" i="13"/>
  <c r="F246" i="13"/>
  <c r="G245" i="13"/>
  <c r="T245" i="13"/>
  <c r="U245" i="13" s="1"/>
  <c r="V245" i="13"/>
  <c r="W245" i="13" s="1"/>
  <c r="X245" i="13" s="1"/>
  <c r="S246" i="13"/>
  <c r="E95" i="3"/>
  <c r="G95" i="3"/>
  <c r="H95" i="3" s="1"/>
  <c r="R95" i="3" s="1"/>
  <c r="J241" i="3"/>
  <c r="B240" i="3"/>
  <c r="C240" i="3" s="1"/>
  <c r="Q241" i="3"/>
  <c r="M241" i="3"/>
  <c r="P241" i="3"/>
  <c r="N241" i="3"/>
  <c r="A241" i="3"/>
  <c r="B241" i="3" s="1"/>
  <c r="C241" i="3" s="1"/>
  <c r="F239" i="3"/>
  <c r="E239" i="3" s="1"/>
  <c r="G213" i="3"/>
  <c r="H213" i="3" s="1"/>
  <c r="W213" i="3"/>
  <c r="R211" i="3"/>
  <c r="L217" i="3"/>
  <c r="I217" i="3"/>
  <c r="S214" i="3"/>
  <c r="T214" i="3" s="1"/>
  <c r="S215" i="3"/>
  <c r="T215" i="3" s="1"/>
  <c r="D216" i="3"/>
  <c r="V246" i="13" l="1"/>
  <c r="W246" i="13" s="1"/>
  <c r="X246" i="13" s="1"/>
  <c r="T246" i="13"/>
  <c r="U246" i="13" s="1"/>
  <c r="Q248" i="13"/>
  <c r="K248" i="13"/>
  <c r="O248" i="13"/>
  <c r="J248" i="13"/>
  <c r="B248" i="13"/>
  <c r="H248" i="13" s="1"/>
  <c r="C247" i="13"/>
  <c r="D247" i="13" s="1"/>
  <c r="N248" i="13"/>
  <c r="I248" i="13"/>
  <c r="F247" i="13"/>
  <c r="R248" i="13"/>
  <c r="M248" i="13"/>
  <c r="E247" i="13"/>
  <c r="G246" i="13"/>
  <c r="S247" i="13"/>
  <c r="E96" i="3"/>
  <c r="G96" i="3"/>
  <c r="H96" i="3" s="1"/>
  <c r="Q242" i="3"/>
  <c r="P242" i="3"/>
  <c r="N242" i="3"/>
  <c r="M242" i="3"/>
  <c r="A242" i="3"/>
  <c r="B242" i="3" s="1"/>
  <c r="C242" i="3" s="1"/>
  <c r="F240" i="3"/>
  <c r="E240" i="3" s="1"/>
  <c r="G214" i="3"/>
  <c r="H214" i="3" s="1"/>
  <c r="R212" i="3"/>
  <c r="W214" i="3"/>
  <c r="L218" i="3"/>
  <c r="I218" i="3"/>
  <c r="J218" i="3"/>
  <c r="U215" i="3"/>
  <c r="V215" i="3" s="1"/>
  <c r="D217" i="3"/>
  <c r="S248" i="13" l="1"/>
  <c r="V247" i="13"/>
  <c r="W247" i="13" s="1"/>
  <c r="X247" i="13" s="1"/>
  <c r="T247" i="13"/>
  <c r="U247" i="13" s="1"/>
  <c r="O249" i="13"/>
  <c r="J249" i="13"/>
  <c r="B249" i="13"/>
  <c r="H249" i="13" s="1"/>
  <c r="C248" i="13"/>
  <c r="D248" i="13" s="1"/>
  <c r="N249" i="13"/>
  <c r="I249" i="13"/>
  <c r="F248" i="13"/>
  <c r="R249" i="13"/>
  <c r="M249" i="13"/>
  <c r="E248" i="13"/>
  <c r="Q249" i="13"/>
  <c r="K249" i="13"/>
  <c r="G247" i="13"/>
  <c r="P97" i="3"/>
  <c r="R96" i="3"/>
  <c r="E97" i="3"/>
  <c r="K97" i="3"/>
  <c r="Y8" i="3" s="1"/>
  <c r="Z8" i="3" s="1"/>
  <c r="G97" i="3"/>
  <c r="H97" i="3" s="1"/>
  <c r="Q243" i="3"/>
  <c r="P243" i="3"/>
  <c r="N243" i="3"/>
  <c r="M243" i="3"/>
  <c r="A243" i="3"/>
  <c r="B243" i="3" s="1"/>
  <c r="C243" i="3" s="1"/>
  <c r="F241" i="3"/>
  <c r="E241" i="3" s="1"/>
  <c r="W215" i="3"/>
  <c r="G215" i="3" s="1"/>
  <c r="H215" i="3" s="1"/>
  <c r="J219" i="3"/>
  <c r="L219" i="3"/>
  <c r="I219" i="3"/>
  <c r="R214" i="3"/>
  <c r="R213" i="3"/>
  <c r="S216" i="3"/>
  <c r="T216" i="3" s="1"/>
  <c r="U216" i="3"/>
  <c r="V216" i="3" s="1"/>
  <c r="W216" i="3" s="1"/>
  <c r="G216" i="3" s="1"/>
  <c r="H216" i="3" s="1"/>
  <c r="S217" i="3"/>
  <c r="T217" i="3" s="1"/>
  <c r="G217" i="3" s="1"/>
  <c r="H217" i="3" s="1"/>
  <c r="U217" i="3"/>
  <c r="V217" i="3" s="1"/>
  <c r="D218" i="3"/>
  <c r="T248" i="13" l="1"/>
  <c r="U248" i="13" s="1"/>
  <c r="V248" i="13"/>
  <c r="W248" i="13" s="1"/>
  <c r="X248" i="13" s="1"/>
  <c r="Q250" i="13"/>
  <c r="K250" i="13"/>
  <c r="N250" i="13"/>
  <c r="I250" i="13"/>
  <c r="R250" i="13"/>
  <c r="M250" i="13"/>
  <c r="J250" i="13"/>
  <c r="F249" i="13"/>
  <c r="E249" i="13"/>
  <c r="O250" i="13"/>
  <c r="B250" i="13"/>
  <c r="C249" i="13"/>
  <c r="D249" i="13" s="1"/>
  <c r="G248" i="13"/>
  <c r="S249" i="13"/>
  <c r="R97" i="3"/>
  <c r="E98" i="3"/>
  <c r="G98" i="3"/>
  <c r="H98" i="3" s="1"/>
  <c r="R98" i="3" s="1"/>
  <c r="P244" i="3"/>
  <c r="N244" i="3"/>
  <c r="M244" i="3"/>
  <c r="Q244" i="3"/>
  <c r="A244" i="3"/>
  <c r="B244" i="3" s="1"/>
  <c r="C244" i="3" s="1"/>
  <c r="F242" i="3"/>
  <c r="E242" i="3" s="1"/>
  <c r="K217" i="3"/>
  <c r="Y18" i="3" s="1"/>
  <c r="Z18" i="3" s="1"/>
  <c r="W217" i="3"/>
  <c r="L220" i="3"/>
  <c r="I220" i="3"/>
  <c r="J220" i="3"/>
  <c r="D219" i="3"/>
  <c r="T249" i="13" l="1"/>
  <c r="U249" i="13" s="1"/>
  <c r="V249" i="13"/>
  <c r="W249" i="13" s="1"/>
  <c r="X249" i="13" s="1"/>
  <c r="O251" i="13"/>
  <c r="J251" i="13"/>
  <c r="B251" i="13"/>
  <c r="H251" i="13" s="1"/>
  <c r="N251" i="13"/>
  <c r="I251" i="13"/>
  <c r="R251" i="13"/>
  <c r="M251" i="13"/>
  <c r="E250" i="13"/>
  <c r="Q251" i="13"/>
  <c r="K251" i="13"/>
  <c r="F250" i="13"/>
  <c r="C250" i="13"/>
  <c r="D250" i="13" s="1"/>
  <c r="G249" i="13"/>
  <c r="S250" i="13"/>
  <c r="H250" i="13"/>
  <c r="E99" i="3"/>
  <c r="G99" i="3"/>
  <c r="H99" i="3" s="1"/>
  <c r="R99" i="3" s="1"/>
  <c r="Q245" i="3"/>
  <c r="M245" i="3"/>
  <c r="P245" i="3"/>
  <c r="N245" i="3"/>
  <c r="A245" i="3"/>
  <c r="B245" i="3" s="1"/>
  <c r="C245" i="3" s="1"/>
  <c r="F243" i="3"/>
  <c r="E243" i="3" s="1"/>
  <c r="J221" i="3"/>
  <c r="L221" i="3"/>
  <c r="I221" i="3"/>
  <c r="R215" i="3"/>
  <c r="U218" i="3"/>
  <c r="V218" i="3" s="1"/>
  <c r="W218" i="3" s="1"/>
  <c r="S218" i="3"/>
  <c r="T218" i="3" s="1"/>
  <c r="G218" i="3" s="1"/>
  <c r="H218" i="3" s="1"/>
  <c r="D220" i="3"/>
  <c r="V250" i="13" l="1"/>
  <c r="W250" i="13" s="1"/>
  <c r="X250" i="13" s="1"/>
  <c r="T250" i="13"/>
  <c r="U250" i="13" s="1"/>
  <c r="S251" i="13"/>
  <c r="N252" i="13"/>
  <c r="I252" i="13"/>
  <c r="F251" i="13"/>
  <c r="R252" i="13"/>
  <c r="M252" i="13"/>
  <c r="E251" i="13"/>
  <c r="Q252" i="13"/>
  <c r="K252" i="13"/>
  <c r="O252" i="13"/>
  <c r="J252" i="13"/>
  <c r="B252" i="13"/>
  <c r="H252" i="13" s="1"/>
  <c r="C251" i="13"/>
  <c r="D251" i="13" s="1"/>
  <c r="G250" i="13"/>
  <c r="E100" i="3"/>
  <c r="G100" i="3"/>
  <c r="H100" i="3" s="1"/>
  <c r="R100" i="3" s="1"/>
  <c r="Q246" i="3"/>
  <c r="P246" i="3"/>
  <c r="N246" i="3"/>
  <c r="M246" i="3"/>
  <c r="A246" i="3"/>
  <c r="B246" i="3" s="1"/>
  <c r="C246" i="3" s="1"/>
  <c r="F244" i="3"/>
  <c r="E244" i="3" s="1"/>
  <c r="R216" i="3"/>
  <c r="L222" i="3"/>
  <c r="I222" i="3"/>
  <c r="J222" i="3"/>
  <c r="S219" i="3"/>
  <c r="T219" i="3" s="1"/>
  <c r="U219" i="3"/>
  <c r="V219" i="3" s="1"/>
  <c r="W219" i="3" s="1"/>
  <c r="S220" i="3"/>
  <c r="T220" i="3" s="1"/>
  <c r="D221" i="3"/>
  <c r="S252" i="13" l="1"/>
  <c r="T251" i="13"/>
  <c r="U251" i="13" s="1"/>
  <c r="V251" i="13"/>
  <c r="W251" i="13" s="1"/>
  <c r="X251" i="13" s="1"/>
  <c r="Q253" i="13"/>
  <c r="E252" i="13"/>
  <c r="O253" i="13"/>
  <c r="N253" i="13"/>
  <c r="J253" i="13"/>
  <c r="B253" i="13"/>
  <c r="H253" i="13" s="1"/>
  <c r="C252" i="13"/>
  <c r="D252" i="13" s="1"/>
  <c r="R253" i="13"/>
  <c r="M253" i="13"/>
  <c r="I253" i="13"/>
  <c r="F252" i="13"/>
  <c r="L253" i="13"/>
  <c r="K253" i="13"/>
  <c r="G251" i="13"/>
  <c r="E101" i="3"/>
  <c r="G101" i="3"/>
  <c r="H101" i="3" s="1"/>
  <c r="R101" i="3" s="1"/>
  <c r="Q247" i="3"/>
  <c r="P247" i="3"/>
  <c r="N247" i="3"/>
  <c r="M247" i="3"/>
  <c r="A247" i="3"/>
  <c r="B247" i="3" s="1"/>
  <c r="C247" i="3" s="1"/>
  <c r="F245" i="3"/>
  <c r="E245" i="3" s="1"/>
  <c r="G219" i="3"/>
  <c r="H219" i="3" s="1"/>
  <c r="R217" i="3"/>
  <c r="J223" i="3"/>
  <c r="L223" i="3"/>
  <c r="I223" i="3"/>
  <c r="U220" i="3"/>
  <c r="V220" i="3" s="1"/>
  <c r="S221" i="3"/>
  <c r="T221" i="3" s="1"/>
  <c r="G221" i="3" s="1"/>
  <c r="H221" i="3" s="1"/>
  <c r="U221" i="3"/>
  <c r="V221" i="3" s="1"/>
  <c r="D222" i="3"/>
  <c r="V252" i="13" l="1"/>
  <c r="W252" i="13" s="1"/>
  <c r="X252" i="13" s="1"/>
  <c r="T252" i="13"/>
  <c r="U252" i="13" s="1"/>
  <c r="S253" i="13"/>
  <c r="N254" i="13"/>
  <c r="J254" i="13"/>
  <c r="B254" i="13"/>
  <c r="H254" i="13" s="1"/>
  <c r="R254" i="13"/>
  <c r="M254" i="13"/>
  <c r="I254" i="13"/>
  <c r="C253" i="13"/>
  <c r="D253" i="13" s="1"/>
  <c r="Q254" i="13"/>
  <c r="L254" i="13"/>
  <c r="F253" i="13"/>
  <c r="O254" i="13"/>
  <c r="K254" i="13"/>
  <c r="E253" i="13"/>
  <c r="G252" i="13"/>
  <c r="E102" i="3"/>
  <c r="G102" i="3"/>
  <c r="H102" i="3" s="1"/>
  <c r="R102" i="3" s="1"/>
  <c r="P248" i="3"/>
  <c r="N248" i="3"/>
  <c r="M248" i="3"/>
  <c r="Q248" i="3"/>
  <c r="A248" i="3"/>
  <c r="B248" i="3" s="1"/>
  <c r="C248" i="3" s="1"/>
  <c r="F246" i="3"/>
  <c r="E246" i="3" s="1"/>
  <c r="G220" i="3"/>
  <c r="H220" i="3" s="1"/>
  <c r="W221" i="3"/>
  <c r="W220" i="3"/>
  <c r="R218" i="3"/>
  <c r="R219" i="3"/>
  <c r="L224" i="3"/>
  <c r="I224" i="3"/>
  <c r="J224" i="3"/>
  <c r="D223" i="3"/>
  <c r="T253" i="13" l="1"/>
  <c r="U253" i="13" s="1"/>
  <c r="V253" i="13"/>
  <c r="W253" i="13" s="1"/>
  <c r="X253" i="13" s="1"/>
  <c r="Q255" i="13"/>
  <c r="L255" i="13"/>
  <c r="F254" i="13"/>
  <c r="O255" i="13"/>
  <c r="K255" i="13"/>
  <c r="E254" i="13"/>
  <c r="N255" i="13"/>
  <c r="J255" i="13"/>
  <c r="B255" i="13"/>
  <c r="R255" i="13"/>
  <c r="M255" i="13"/>
  <c r="I255" i="13"/>
  <c r="C254" i="13"/>
  <c r="D254" i="13" s="1"/>
  <c r="G253" i="13"/>
  <c r="S254" i="13"/>
  <c r="E103" i="3"/>
  <c r="G103" i="3"/>
  <c r="H103" i="3" s="1"/>
  <c r="R103" i="3" s="1"/>
  <c r="Q249" i="3"/>
  <c r="M249" i="3"/>
  <c r="P249" i="3"/>
  <c r="N249" i="3"/>
  <c r="A249" i="3"/>
  <c r="B249" i="3" s="1"/>
  <c r="C249" i="3" s="1"/>
  <c r="F247" i="3"/>
  <c r="E247" i="3" s="1"/>
  <c r="J225" i="3"/>
  <c r="L225" i="3"/>
  <c r="I225" i="3"/>
  <c r="U222" i="3"/>
  <c r="V222" i="3" s="1"/>
  <c r="W222" i="3" s="1"/>
  <c r="S222" i="3"/>
  <c r="T222" i="3" s="1"/>
  <c r="G222" i="3" s="1"/>
  <c r="H222" i="3" s="1"/>
  <c r="D224" i="3"/>
  <c r="V254" i="13" l="1"/>
  <c r="W254" i="13" s="1"/>
  <c r="X254" i="13" s="1"/>
  <c r="T254" i="13"/>
  <c r="U254" i="13" s="1"/>
  <c r="N256" i="13"/>
  <c r="J256" i="13"/>
  <c r="B256" i="13"/>
  <c r="R256" i="13"/>
  <c r="M256" i="13"/>
  <c r="I256" i="13"/>
  <c r="C255" i="13"/>
  <c r="D255" i="13" s="1"/>
  <c r="Q256" i="13"/>
  <c r="L256" i="13"/>
  <c r="F255" i="13"/>
  <c r="O256" i="13"/>
  <c r="K256" i="13"/>
  <c r="E255" i="13"/>
  <c r="G254" i="13"/>
  <c r="H255" i="13"/>
  <c r="S255" i="13"/>
  <c r="G104" i="3"/>
  <c r="E104" i="3"/>
  <c r="Q250" i="3"/>
  <c r="P250" i="3"/>
  <c r="N250" i="3"/>
  <c r="M250" i="3"/>
  <c r="A250" i="3"/>
  <c r="B250" i="3" s="1"/>
  <c r="C250" i="3" s="1"/>
  <c r="F248" i="3"/>
  <c r="E248" i="3" s="1"/>
  <c r="L226" i="3"/>
  <c r="I226" i="3"/>
  <c r="J226" i="3"/>
  <c r="R220" i="3"/>
  <c r="R221" i="3"/>
  <c r="S223" i="3"/>
  <c r="T223" i="3" s="1"/>
  <c r="U223" i="3"/>
  <c r="V223" i="3" s="1"/>
  <c r="W223" i="3" s="1"/>
  <c r="D225" i="3"/>
  <c r="S224" i="3"/>
  <c r="T224" i="3" s="1"/>
  <c r="U224" i="3"/>
  <c r="V224" i="3" s="1"/>
  <c r="T255" i="13" l="1"/>
  <c r="U255" i="13" s="1"/>
  <c r="V255" i="13"/>
  <c r="W255" i="13" s="1"/>
  <c r="X255" i="13" s="1"/>
  <c r="Q257" i="13"/>
  <c r="L257" i="13"/>
  <c r="F256" i="13"/>
  <c r="O257" i="13"/>
  <c r="K257" i="13"/>
  <c r="E256" i="13"/>
  <c r="N257" i="13"/>
  <c r="J257" i="13"/>
  <c r="B257" i="13"/>
  <c r="H257" i="13" s="1"/>
  <c r="R257" i="13"/>
  <c r="M257" i="13"/>
  <c r="I257" i="13"/>
  <c r="C256" i="13"/>
  <c r="D256" i="13" s="1"/>
  <c r="G255" i="13"/>
  <c r="H256" i="13"/>
  <c r="S256" i="13"/>
  <c r="H104" i="3"/>
  <c r="G105" i="3"/>
  <c r="Q251" i="3"/>
  <c r="P251" i="3"/>
  <c r="N251" i="3"/>
  <c r="M251" i="3"/>
  <c r="A251" i="3"/>
  <c r="B251" i="3" s="1"/>
  <c r="C251" i="3" s="1"/>
  <c r="F249" i="3"/>
  <c r="E249" i="3" s="1"/>
  <c r="G223" i="3"/>
  <c r="H223" i="3" s="1"/>
  <c r="G224" i="3"/>
  <c r="H224" i="3" s="1"/>
  <c r="W224" i="3"/>
  <c r="J227" i="3"/>
  <c r="L227" i="3"/>
  <c r="I227" i="3"/>
  <c r="R222" i="3"/>
  <c r="D226" i="3"/>
  <c r="V256" i="13" l="1"/>
  <c r="W256" i="13" s="1"/>
  <c r="X256" i="13" s="1"/>
  <c r="T256" i="13"/>
  <c r="U256" i="13" s="1"/>
  <c r="N258" i="13"/>
  <c r="J258" i="13"/>
  <c r="B258" i="13"/>
  <c r="R258" i="13"/>
  <c r="M258" i="13"/>
  <c r="I258" i="13"/>
  <c r="C257" i="13"/>
  <c r="D257" i="13" s="1"/>
  <c r="Q258" i="13"/>
  <c r="L258" i="13"/>
  <c r="F257" i="13"/>
  <c r="O258" i="13"/>
  <c r="K258" i="13"/>
  <c r="E257" i="13"/>
  <c r="G256" i="13"/>
  <c r="S257" i="13"/>
  <c r="H105" i="3"/>
  <c r="Q105" i="3"/>
  <c r="P105" i="3"/>
  <c r="R104" i="3"/>
  <c r="P252" i="3"/>
  <c r="N252" i="3"/>
  <c r="Q252" i="3"/>
  <c r="M252" i="3"/>
  <c r="A252" i="3"/>
  <c r="F250" i="3"/>
  <c r="E250" i="3" s="1"/>
  <c r="L228" i="3"/>
  <c r="I228" i="3"/>
  <c r="J228" i="3"/>
  <c r="U225" i="3"/>
  <c r="V225" i="3" s="1"/>
  <c r="S225" i="3"/>
  <c r="T225" i="3" s="1"/>
  <c r="D227" i="3"/>
  <c r="T257" i="13" l="1"/>
  <c r="U257" i="13" s="1"/>
  <c r="V257" i="13"/>
  <c r="W257" i="13" s="1"/>
  <c r="X257" i="13" s="1"/>
  <c r="Q259" i="13"/>
  <c r="L259" i="13"/>
  <c r="F258" i="13"/>
  <c r="O259" i="13"/>
  <c r="K259" i="13"/>
  <c r="E258" i="13"/>
  <c r="N259" i="13"/>
  <c r="J259" i="13"/>
  <c r="B259" i="13"/>
  <c r="R259" i="13"/>
  <c r="M259" i="13"/>
  <c r="I259" i="13"/>
  <c r="C258" i="13"/>
  <c r="D258" i="13" s="1"/>
  <c r="G257" i="13"/>
  <c r="H258" i="13"/>
  <c r="S258" i="13"/>
  <c r="R105" i="3"/>
  <c r="J253" i="3"/>
  <c r="B252" i="3"/>
  <c r="C252" i="3" s="1"/>
  <c r="Q253" i="3"/>
  <c r="M253" i="3"/>
  <c r="P253" i="3"/>
  <c r="N253" i="3"/>
  <c r="A253" i="3"/>
  <c r="B253" i="3" s="1"/>
  <c r="C253" i="3" s="1"/>
  <c r="F251" i="3"/>
  <c r="E251" i="3" s="1"/>
  <c r="G225" i="3"/>
  <c r="H225" i="3" s="1"/>
  <c r="W225" i="3"/>
  <c r="L229" i="3"/>
  <c r="I229" i="3"/>
  <c r="R224" i="3"/>
  <c r="R223" i="3"/>
  <c r="S226" i="3"/>
  <c r="T226" i="3" s="1"/>
  <c r="G226" i="3" s="1"/>
  <c r="H226" i="3" s="1"/>
  <c r="U226" i="3"/>
  <c r="V226" i="3" s="1"/>
  <c r="W226" i="3" s="1"/>
  <c r="D228" i="3"/>
  <c r="N260" i="13" l="1"/>
  <c r="J260" i="13"/>
  <c r="B260" i="13"/>
  <c r="H260" i="13" s="1"/>
  <c r="R260" i="13"/>
  <c r="M260" i="13"/>
  <c r="I260" i="13"/>
  <c r="C259" i="13"/>
  <c r="D259" i="13" s="1"/>
  <c r="Q260" i="13"/>
  <c r="L260" i="13"/>
  <c r="F259" i="13"/>
  <c r="O260" i="13"/>
  <c r="K260" i="13"/>
  <c r="E259" i="13"/>
  <c r="G258" i="13"/>
  <c r="H259" i="13"/>
  <c r="V258" i="13"/>
  <c r="W258" i="13" s="1"/>
  <c r="X258" i="13" s="1"/>
  <c r="T258" i="13"/>
  <c r="U258" i="13" s="1"/>
  <c r="S259" i="13"/>
  <c r="Q254" i="3"/>
  <c r="P254" i="3"/>
  <c r="N254" i="3"/>
  <c r="M254" i="3"/>
  <c r="A254" i="3"/>
  <c r="B254" i="3" s="1"/>
  <c r="C254" i="3" s="1"/>
  <c r="F252" i="3"/>
  <c r="E252" i="3" s="1"/>
  <c r="L230" i="3"/>
  <c r="I230" i="3"/>
  <c r="J230" i="3"/>
  <c r="U227" i="3"/>
  <c r="V227" i="3" s="1"/>
  <c r="W227" i="3" s="1"/>
  <c r="S227" i="3"/>
  <c r="T227" i="3" s="1"/>
  <c r="D229" i="3"/>
  <c r="S260" i="13" l="1"/>
  <c r="T259" i="13"/>
  <c r="U259" i="13" s="1"/>
  <c r="V259" i="13"/>
  <c r="W259" i="13" s="1"/>
  <c r="X259" i="13" s="1"/>
  <c r="Q261" i="13"/>
  <c r="L261" i="13"/>
  <c r="F260" i="13"/>
  <c r="O261" i="13"/>
  <c r="K261" i="13"/>
  <c r="E260" i="13"/>
  <c r="N261" i="13"/>
  <c r="J261" i="13"/>
  <c r="B261" i="13"/>
  <c r="R261" i="13"/>
  <c r="M261" i="13"/>
  <c r="I261" i="13"/>
  <c r="C260" i="13"/>
  <c r="D260" i="13" s="1"/>
  <c r="G259" i="13"/>
  <c r="Q255" i="3"/>
  <c r="P255" i="3"/>
  <c r="N255" i="3"/>
  <c r="M255" i="3"/>
  <c r="A255" i="3"/>
  <c r="B255" i="3" s="1"/>
  <c r="C255" i="3" s="1"/>
  <c r="F253" i="3"/>
  <c r="E253" i="3" s="1"/>
  <c r="G227" i="3"/>
  <c r="H227" i="3" s="1"/>
  <c r="R225" i="3"/>
  <c r="J231" i="3"/>
  <c r="L231" i="3"/>
  <c r="I231" i="3"/>
  <c r="S228" i="3"/>
  <c r="T228" i="3" s="1"/>
  <c r="U228" i="3"/>
  <c r="V228" i="3" s="1"/>
  <c r="W228" i="3" s="1"/>
  <c r="D230" i="3"/>
  <c r="N262" i="13" l="1"/>
  <c r="J262" i="13"/>
  <c r="B262" i="13"/>
  <c r="H262" i="13" s="1"/>
  <c r="R262" i="13"/>
  <c r="M262" i="13"/>
  <c r="I262" i="13"/>
  <c r="C261" i="13"/>
  <c r="D261" i="13" s="1"/>
  <c r="Q262" i="13"/>
  <c r="L262" i="13"/>
  <c r="F261" i="13"/>
  <c r="O262" i="13"/>
  <c r="K262" i="13"/>
  <c r="E261" i="13"/>
  <c r="G260" i="13"/>
  <c r="H261" i="13"/>
  <c r="V260" i="13"/>
  <c r="W260" i="13" s="1"/>
  <c r="X260" i="13" s="1"/>
  <c r="T260" i="13"/>
  <c r="U260" i="13" s="1"/>
  <c r="S261" i="13"/>
  <c r="P256" i="3"/>
  <c r="N256" i="3"/>
  <c r="Q256" i="3"/>
  <c r="M256" i="3"/>
  <c r="G228" i="3"/>
  <c r="H228" i="3" s="1"/>
  <c r="A256" i="3"/>
  <c r="B256" i="3" s="1"/>
  <c r="C256" i="3" s="1"/>
  <c r="F254" i="3"/>
  <c r="E254" i="3" s="1"/>
  <c r="K229" i="3"/>
  <c r="Y19" i="3" s="1"/>
  <c r="Z19" i="3" s="1"/>
  <c r="R226" i="3"/>
  <c r="L232" i="3"/>
  <c r="I232" i="3"/>
  <c r="J232" i="3"/>
  <c r="U229" i="3"/>
  <c r="V229" i="3" s="1"/>
  <c r="W229" i="3" s="1"/>
  <c r="S229" i="3"/>
  <c r="T229" i="3" s="1"/>
  <c r="G229" i="3" s="1"/>
  <c r="H229" i="3" s="1"/>
  <c r="D231" i="3"/>
  <c r="S262" i="13" l="1"/>
  <c r="T261" i="13"/>
  <c r="U261" i="13" s="1"/>
  <c r="V261" i="13"/>
  <c r="W261" i="13" s="1"/>
  <c r="X261" i="13" s="1"/>
  <c r="Q263" i="13"/>
  <c r="L263" i="13"/>
  <c r="F262" i="13"/>
  <c r="O263" i="13"/>
  <c r="K263" i="13"/>
  <c r="E262" i="13"/>
  <c r="N263" i="13"/>
  <c r="J263" i="13"/>
  <c r="B263" i="13"/>
  <c r="R263" i="13"/>
  <c r="M263" i="13"/>
  <c r="I263" i="13"/>
  <c r="C262" i="13"/>
  <c r="D262" i="13" s="1"/>
  <c r="G261" i="13"/>
  <c r="Q257" i="3"/>
  <c r="M257" i="3"/>
  <c r="P257" i="3"/>
  <c r="N257" i="3"/>
  <c r="A257" i="3"/>
  <c r="B257" i="3" s="1"/>
  <c r="C257" i="3" s="1"/>
  <c r="F255" i="3"/>
  <c r="E255" i="3" s="1"/>
  <c r="R227" i="3"/>
  <c r="R228" i="3"/>
  <c r="J233" i="3"/>
  <c r="L233" i="3"/>
  <c r="I233" i="3"/>
  <c r="U230" i="3"/>
  <c r="V230" i="3" s="1"/>
  <c r="W230" i="3" s="1"/>
  <c r="S230" i="3"/>
  <c r="T230" i="3" s="1"/>
  <c r="S231" i="3"/>
  <c r="T231" i="3" s="1"/>
  <c r="U231" i="3"/>
  <c r="V231" i="3" s="1"/>
  <c r="D232" i="3"/>
  <c r="V262" i="13" l="1"/>
  <c r="W262" i="13" s="1"/>
  <c r="X262" i="13" s="1"/>
  <c r="T262" i="13"/>
  <c r="U262" i="13" s="1"/>
  <c r="N264" i="13"/>
  <c r="J264" i="13"/>
  <c r="B264" i="13"/>
  <c r="R264" i="13"/>
  <c r="M264" i="13"/>
  <c r="I264" i="13"/>
  <c r="C263" i="13"/>
  <c r="D263" i="13" s="1"/>
  <c r="Q264" i="13"/>
  <c r="L264" i="13"/>
  <c r="F263" i="13"/>
  <c r="O264" i="13"/>
  <c r="K264" i="13"/>
  <c r="E263" i="13"/>
  <c r="G262" i="13"/>
  <c r="H263" i="13"/>
  <c r="S263" i="13"/>
  <c r="G231" i="3"/>
  <c r="H231" i="3" s="1"/>
  <c r="Q258" i="3"/>
  <c r="P258" i="3"/>
  <c r="N258" i="3"/>
  <c r="M258" i="3"/>
  <c r="A258" i="3"/>
  <c r="B258" i="3" s="1"/>
  <c r="C258" i="3" s="1"/>
  <c r="F256" i="3"/>
  <c r="E256" i="3" s="1"/>
  <c r="G230" i="3"/>
  <c r="H230" i="3" s="1"/>
  <c r="W231" i="3"/>
  <c r="L234" i="3"/>
  <c r="I234" i="3"/>
  <c r="J234" i="3"/>
  <c r="R229" i="3"/>
  <c r="S232" i="3"/>
  <c r="T232" i="3" s="1"/>
  <c r="U232" i="3"/>
  <c r="V232" i="3" s="1"/>
  <c r="D233" i="3"/>
  <c r="T263" i="13" l="1"/>
  <c r="U263" i="13" s="1"/>
  <c r="V263" i="13"/>
  <c r="W263" i="13" s="1"/>
  <c r="X263" i="13" s="1"/>
  <c r="O265" i="13"/>
  <c r="F264" i="13"/>
  <c r="N265" i="13"/>
  <c r="J265" i="13"/>
  <c r="E264" i="13"/>
  <c r="R265" i="13"/>
  <c r="M265" i="13"/>
  <c r="I265" i="13"/>
  <c r="B265" i="13"/>
  <c r="H265" i="13" s="1"/>
  <c r="Q265" i="13"/>
  <c r="C264" i="13"/>
  <c r="D264" i="13" s="1"/>
  <c r="L265" i="13"/>
  <c r="K265" i="13"/>
  <c r="G263" i="13"/>
  <c r="H264" i="13"/>
  <c r="S264" i="13"/>
  <c r="Q259" i="3"/>
  <c r="P259" i="3"/>
  <c r="N259" i="3"/>
  <c r="M259" i="3"/>
  <c r="A259" i="3"/>
  <c r="B259" i="3" s="1"/>
  <c r="C259" i="3" s="1"/>
  <c r="F257" i="3"/>
  <c r="E257" i="3" s="1"/>
  <c r="G232" i="3"/>
  <c r="H232" i="3" s="1"/>
  <c r="W232" i="3"/>
  <c r="J235" i="3"/>
  <c r="L235" i="3"/>
  <c r="I235" i="3"/>
  <c r="D234" i="3"/>
  <c r="V264" i="13" l="1"/>
  <c r="W264" i="13" s="1"/>
  <c r="X264" i="13" s="1"/>
  <c r="T264" i="13"/>
  <c r="U264" i="13" s="1"/>
  <c r="B266" i="13"/>
  <c r="G265" i="13" s="1"/>
  <c r="F265" i="13"/>
  <c r="G264" i="13"/>
  <c r="P260" i="3"/>
  <c r="N260" i="3"/>
  <c r="Q260" i="3"/>
  <c r="M260" i="3"/>
  <c r="A260" i="3"/>
  <c r="B260" i="3" s="1"/>
  <c r="C260" i="3" s="1"/>
  <c r="F258" i="3"/>
  <c r="E258" i="3" s="1"/>
  <c r="R230" i="3"/>
  <c r="L236" i="3"/>
  <c r="I236" i="3"/>
  <c r="J236" i="3"/>
  <c r="R231" i="3"/>
  <c r="U233" i="3"/>
  <c r="V233" i="3" s="1"/>
  <c r="W233" i="3" s="1"/>
  <c r="S233" i="3"/>
  <c r="T233" i="3" s="1"/>
  <c r="D235" i="3"/>
  <c r="Q261" i="3" l="1"/>
  <c r="M261" i="3"/>
  <c r="P261" i="3"/>
  <c r="N261" i="3"/>
  <c r="A261" i="3"/>
  <c r="F259" i="3"/>
  <c r="E259" i="3" s="1"/>
  <c r="G233" i="3"/>
  <c r="H233" i="3" s="1"/>
  <c r="J237" i="3"/>
  <c r="L237" i="3"/>
  <c r="I237" i="3"/>
  <c r="R232" i="3"/>
  <c r="U234" i="3"/>
  <c r="V234" i="3" s="1"/>
  <c r="W234" i="3" s="1"/>
  <c r="S234" i="3"/>
  <c r="T234" i="3" s="1"/>
  <c r="G234" i="3" s="1"/>
  <c r="H234" i="3" s="1"/>
  <c r="D236" i="3"/>
  <c r="B261" i="3" l="1"/>
  <c r="C261" i="3" s="1"/>
  <c r="A262" i="3"/>
  <c r="A263" i="3" s="1"/>
  <c r="A264" i="3" s="1"/>
  <c r="A265" i="3" s="1"/>
  <c r="A266" i="3" s="1"/>
  <c r="Q262" i="3"/>
  <c r="P262" i="3"/>
  <c r="N262" i="3"/>
  <c r="M262" i="3"/>
  <c r="F260" i="3"/>
  <c r="E260" i="3" s="1"/>
  <c r="L238" i="3"/>
  <c r="I238" i="3"/>
  <c r="J238" i="3"/>
  <c r="U235" i="3"/>
  <c r="V235" i="3" s="1"/>
  <c r="W235" i="3" s="1"/>
  <c r="S235" i="3"/>
  <c r="T235" i="3" s="1"/>
  <c r="D237" i="3"/>
  <c r="B262" i="3" l="1"/>
  <c r="C262" i="3" s="1"/>
  <c r="Q263" i="3"/>
  <c r="P263" i="3"/>
  <c r="N263" i="3"/>
  <c r="M263" i="3"/>
  <c r="B263" i="3"/>
  <c r="C263" i="3" s="1"/>
  <c r="F261" i="3"/>
  <c r="E261" i="3" s="1"/>
  <c r="G235" i="3"/>
  <c r="H235" i="3" s="1"/>
  <c r="R233" i="3"/>
  <c r="J239" i="3"/>
  <c r="L239" i="3"/>
  <c r="I239" i="3"/>
  <c r="U236" i="3"/>
  <c r="V236" i="3" s="1"/>
  <c r="W236" i="3" s="1"/>
  <c r="S236" i="3"/>
  <c r="T236" i="3" s="1"/>
  <c r="U237" i="3"/>
  <c r="V237" i="3" s="1"/>
  <c r="D238" i="3"/>
  <c r="P264" i="3" l="1"/>
  <c r="N264" i="3"/>
  <c r="Q264" i="3"/>
  <c r="M264" i="3"/>
  <c r="B264" i="3"/>
  <c r="C264" i="3" s="1"/>
  <c r="F262" i="3"/>
  <c r="E262" i="3" s="1"/>
  <c r="G236" i="3"/>
  <c r="H236" i="3" s="1"/>
  <c r="R234" i="3"/>
  <c r="L240" i="3"/>
  <c r="I240" i="3"/>
  <c r="J240" i="3"/>
  <c r="S237" i="3"/>
  <c r="T237" i="3" s="1"/>
  <c r="D239" i="3"/>
  <c r="F263" i="3" l="1"/>
  <c r="E263" i="3" s="1"/>
  <c r="M265" i="3"/>
  <c r="N265" i="3"/>
  <c r="G237" i="3"/>
  <c r="H237" i="3" s="1"/>
  <c r="W237" i="3"/>
  <c r="L241" i="3"/>
  <c r="I241" i="3"/>
  <c r="R235" i="3"/>
  <c r="U238" i="3"/>
  <c r="V238" i="3" s="1"/>
  <c r="W238" i="3" s="1"/>
  <c r="S238" i="3"/>
  <c r="T238" i="3" s="1"/>
  <c r="G238" i="3" s="1"/>
  <c r="H238" i="3" s="1"/>
  <c r="D240" i="3"/>
  <c r="R236" i="3" l="1"/>
  <c r="L242" i="3"/>
  <c r="I242" i="3"/>
  <c r="J242" i="3"/>
  <c r="U239" i="3"/>
  <c r="V239" i="3" s="1"/>
  <c r="S239" i="3"/>
  <c r="T239" i="3" s="1"/>
  <c r="D241" i="3"/>
  <c r="G239" i="3" l="1"/>
  <c r="H239" i="3" s="1"/>
  <c r="W239" i="3"/>
  <c r="J243" i="3"/>
  <c r="L243" i="3"/>
  <c r="I243" i="3"/>
  <c r="R237" i="3"/>
  <c r="S240" i="3"/>
  <c r="T240" i="3" s="1"/>
  <c r="U240" i="3"/>
  <c r="V240" i="3" s="1"/>
  <c r="U241" i="3"/>
  <c r="V241" i="3" s="1"/>
  <c r="D242" i="3"/>
  <c r="G240" i="3" l="1"/>
  <c r="H240" i="3" s="1"/>
  <c r="K241" i="3"/>
  <c r="R238" i="3"/>
  <c r="W240" i="3"/>
  <c r="L244" i="3"/>
  <c r="I244" i="3"/>
  <c r="J244" i="3"/>
  <c r="S241" i="3"/>
  <c r="T241" i="3" s="1"/>
  <c r="S242" i="3"/>
  <c r="T242" i="3" s="1"/>
  <c r="G242" i="3" s="1"/>
  <c r="H242" i="3" s="1"/>
  <c r="U242" i="3"/>
  <c r="V242" i="3" s="1"/>
  <c r="D243" i="3"/>
  <c r="G241" i="3" l="1"/>
  <c r="H241" i="3" s="1"/>
  <c r="Y20" i="3"/>
  <c r="Z20" i="3" s="1"/>
  <c r="W241" i="3"/>
  <c r="W242" i="3"/>
  <c r="J245" i="3"/>
  <c r="L245" i="3"/>
  <c r="I245" i="3"/>
  <c r="R239" i="3"/>
  <c r="D244" i="3"/>
  <c r="L246" i="3" l="1"/>
  <c r="I246" i="3"/>
  <c r="J246" i="3"/>
  <c r="U243" i="3"/>
  <c r="V243" i="3" s="1"/>
  <c r="W243" i="3" s="1"/>
  <c r="R240" i="3"/>
  <c r="S243" i="3"/>
  <c r="T243" i="3" s="1"/>
  <c r="D245" i="3"/>
  <c r="S244" i="3"/>
  <c r="T244" i="3" s="1"/>
  <c r="U244" i="3"/>
  <c r="V244" i="3" s="1"/>
  <c r="G244" i="3" l="1"/>
  <c r="H244" i="3" s="1"/>
  <c r="G243" i="3"/>
  <c r="H243" i="3" s="1"/>
  <c r="W244" i="3"/>
  <c r="J247" i="3"/>
  <c r="L247" i="3"/>
  <c r="I247" i="3"/>
  <c r="R241" i="3"/>
  <c r="R242" i="3"/>
  <c r="D246" i="3"/>
  <c r="U245" i="3"/>
  <c r="V245" i="3" s="1"/>
  <c r="S245" i="3"/>
  <c r="T245" i="3" s="1"/>
  <c r="G245" i="3" l="1"/>
  <c r="H245" i="3" s="1"/>
  <c r="W245" i="3"/>
  <c r="L248" i="3"/>
  <c r="I248" i="3"/>
  <c r="J248" i="3"/>
  <c r="U246" i="3"/>
  <c r="V246" i="3" s="1"/>
  <c r="D247" i="3"/>
  <c r="R243" i="3" l="1"/>
  <c r="J249" i="3"/>
  <c r="L249" i="3"/>
  <c r="I249" i="3"/>
  <c r="R244" i="3"/>
  <c r="S246" i="3"/>
  <c r="T246" i="3" s="1"/>
  <c r="U247" i="3"/>
  <c r="V247" i="3" s="1"/>
  <c r="D248" i="3"/>
  <c r="G246" i="3" l="1"/>
  <c r="H246" i="3" s="1"/>
  <c r="W246" i="3"/>
  <c r="L250" i="3"/>
  <c r="I250" i="3"/>
  <c r="J250" i="3"/>
  <c r="R245" i="3"/>
  <c r="S247" i="3"/>
  <c r="T247" i="3" s="1"/>
  <c r="U248" i="3"/>
  <c r="V248" i="3" s="1"/>
  <c r="D249" i="3"/>
  <c r="G247" i="3" l="1"/>
  <c r="H247" i="3" s="1"/>
  <c r="W247" i="3"/>
  <c r="J251" i="3"/>
  <c r="L251" i="3"/>
  <c r="I251" i="3"/>
  <c r="S248" i="3"/>
  <c r="T248" i="3" s="1"/>
  <c r="D250" i="3"/>
  <c r="G248" i="3" l="1"/>
  <c r="H248" i="3" s="1"/>
  <c r="R246" i="3"/>
  <c r="W248" i="3"/>
  <c r="L252" i="3"/>
  <c r="I252" i="3"/>
  <c r="J252" i="3"/>
  <c r="U249" i="3"/>
  <c r="V249" i="3" s="1"/>
  <c r="W249" i="3" s="1"/>
  <c r="U250" i="3"/>
  <c r="V250" i="3" s="1"/>
  <c r="S249" i="3"/>
  <c r="T249" i="3" s="1"/>
  <c r="G249" i="3" s="1"/>
  <c r="H249" i="3" s="1"/>
  <c r="D251" i="3"/>
  <c r="L253" i="3" l="1"/>
  <c r="I253" i="3"/>
  <c r="R247" i="3"/>
  <c r="R248" i="3"/>
  <c r="S250" i="3"/>
  <c r="T250" i="3" s="1"/>
  <c r="D252" i="3"/>
  <c r="U251" i="3"/>
  <c r="V251" i="3" s="1"/>
  <c r="S251" i="3"/>
  <c r="T251" i="3" s="1"/>
  <c r="G250" i="3" l="1"/>
  <c r="H250" i="3" s="1"/>
  <c r="R249" i="3"/>
  <c r="W251" i="3"/>
  <c r="G251" i="3" s="1"/>
  <c r="H251" i="3" s="1"/>
  <c r="W250" i="3"/>
  <c r="K254" i="3"/>
  <c r="I254" i="3"/>
  <c r="L254" i="3"/>
  <c r="J254" i="3"/>
  <c r="D253" i="3"/>
  <c r="K255" i="3" l="1"/>
  <c r="I255" i="3"/>
  <c r="L255" i="3"/>
  <c r="J255" i="3"/>
  <c r="S252" i="3"/>
  <c r="T252" i="3" s="1"/>
  <c r="U252" i="3"/>
  <c r="V252" i="3" s="1"/>
  <c r="U253" i="3"/>
  <c r="V253" i="3" s="1"/>
  <c r="D254" i="3"/>
  <c r="G252" i="3" l="1"/>
  <c r="H252" i="3" s="1"/>
  <c r="K253" i="3"/>
  <c r="W252" i="3"/>
  <c r="K256" i="3"/>
  <c r="I256" i="3"/>
  <c r="L256" i="3"/>
  <c r="J256" i="3"/>
  <c r="R251" i="3"/>
  <c r="R250" i="3"/>
  <c r="U254" i="3"/>
  <c r="V254" i="3" s="1"/>
  <c r="S253" i="3"/>
  <c r="T253" i="3" s="1"/>
  <c r="S254" i="3"/>
  <c r="T254" i="3" s="1"/>
  <c r="D255" i="3"/>
  <c r="G253" i="3" l="1"/>
  <c r="H253" i="3" s="1"/>
  <c r="Y21" i="3"/>
  <c r="Y22" i="3" s="1"/>
  <c r="W253" i="3"/>
  <c r="K257" i="3"/>
  <c r="I257" i="3"/>
  <c r="L257" i="3"/>
  <c r="J257" i="3"/>
  <c r="U255" i="3"/>
  <c r="V255" i="3" s="1"/>
  <c r="D256" i="3"/>
  <c r="G254" i="3" l="1"/>
  <c r="H254" i="3" s="1"/>
  <c r="Z21" i="3"/>
  <c r="Z22" i="3" s="1"/>
  <c r="D52" i="1"/>
  <c r="W254" i="3"/>
  <c r="K258" i="3"/>
  <c r="I258" i="3"/>
  <c r="L258" i="3"/>
  <c r="J258" i="3"/>
  <c r="R252" i="3"/>
  <c r="S255" i="3"/>
  <c r="T255" i="3" s="1"/>
  <c r="U256" i="3"/>
  <c r="V256" i="3" s="1"/>
  <c r="D257" i="3"/>
  <c r="E52" i="1" l="1"/>
  <c r="B52" i="1" s="1"/>
  <c r="G255" i="3"/>
  <c r="H255" i="3" s="1"/>
  <c r="W255" i="3"/>
  <c r="K259" i="3"/>
  <c r="I259" i="3"/>
  <c r="L259" i="3"/>
  <c r="J259" i="3"/>
  <c r="R253" i="3"/>
  <c r="S256" i="3"/>
  <c r="T256" i="3" s="1"/>
  <c r="S257" i="3"/>
  <c r="T257" i="3" s="1"/>
  <c r="U257" i="3"/>
  <c r="V257" i="3" s="1"/>
  <c r="D258" i="3"/>
  <c r="G257" i="3" l="1"/>
  <c r="H257" i="3" s="1"/>
  <c r="G256" i="3"/>
  <c r="H256" i="3" s="1"/>
  <c r="W256" i="3"/>
  <c r="W257" i="3"/>
  <c r="K260" i="3"/>
  <c r="I260" i="3"/>
  <c r="L260" i="3"/>
  <c r="J260" i="3"/>
  <c r="R254" i="3"/>
  <c r="U258" i="3"/>
  <c r="V258" i="3" s="1"/>
  <c r="S258" i="3"/>
  <c r="T258" i="3" s="1"/>
  <c r="D259" i="3"/>
  <c r="G258" i="3" l="1"/>
  <c r="H258" i="3" s="1"/>
  <c r="W258" i="3"/>
  <c r="K261" i="3"/>
  <c r="I261" i="3"/>
  <c r="L261" i="3"/>
  <c r="J261" i="3"/>
  <c r="R255" i="3"/>
  <c r="S259" i="3"/>
  <c r="T259" i="3" s="1"/>
  <c r="G259" i="3" s="1"/>
  <c r="H259" i="3" s="1"/>
  <c r="U259" i="3"/>
  <c r="V259" i="3" s="1"/>
  <c r="D260" i="3"/>
  <c r="W259" i="3" l="1"/>
  <c r="K262" i="3"/>
  <c r="I262" i="3"/>
  <c r="L262" i="3"/>
  <c r="J262" i="3"/>
  <c r="R257" i="3"/>
  <c r="R256" i="3"/>
  <c r="D261" i="3"/>
  <c r="K263" i="3" l="1"/>
  <c r="I263" i="3"/>
  <c r="L263" i="3"/>
  <c r="J263" i="3"/>
  <c r="R258" i="3"/>
  <c r="S260" i="3"/>
  <c r="T260" i="3" s="1"/>
  <c r="G260" i="3" s="1"/>
  <c r="H260" i="3" s="1"/>
  <c r="U260" i="3"/>
  <c r="V260" i="3" s="1"/>
  <c r="W260" i="3" s="1"/>
  <c r="D262" i="3"/>
  <c r="K264" i="3" l="1"/>
  <c r="I264" i="3"/>
  <c r="L264" i="3"/>
  <c r="J264" i="3"/>
  <c r="R259" i="3"/>
  <c r="U261" i="3"/>
  <c r="V261" i="3" s="1"/>
  <c r="W261" i="3" s="1"/>
  <c r="S261" i="3"/>
  <c r="T261" i="3" s="1"/>
  <c r="G261" i="3" s="1"/>
  <c r="H261" i="3" s="1"/>
  <c r="S262" i="3"/>
  <c r="T262" i="3" s="1"/>
  <c r="G262" i="3" s="1"/>
  <c r="H262" i="3" s="1"/>
  <c r="U262" i="3"/>
  <c r="V262" i="3" s="1"/>
  <c r="K265" i="3"/>
  <c r="D263" i="3"/>
  <c r="J265" i="3" l="1"/>
  <c r="W262" i="3"/>
  <c r="L265" i="3"/>
  <c r="I265" i="3"/>
  <c r="R260" i="3"/>
  <c r="D264" i="3"/>
  <c r="F264" i="3" l="1"/>
  <c r="E264" i="3" s="1"/>
  <c r="S263" i="3"/>
  <c r="T263" i="3" s="1"/>
  <c r="U263" i="3"/>
  <c r="V263" i="3" s="1"/>
  <c r="W263" i="3" s="1"/>
  <c r="U264" i="3"/>
  <c r="V264" i="3" s="1"/>
  <c r="S264" i="3"/>
  <c r="T264" i="3" s="1"/>
  <c r="F265" i="3" l="1"/>
  <c r="G264" i="3"/>
  <c r="H264" i="3" s="1"/>
  <c r="G263" i="3"/>
  <c r="H263" i="3" s="1"/>
  <c r="R261" i="3"/>
  <c r="W264" i="3"/>
  <c r="R262" i="3"/>
  <c r="E265" i="3" l="1"/>
  <c r="H265" i="3"/>
  <c r="G265" i="3"/>
  <c r="Q265" i="3" s="1"/>
  <c r="R264" i="3" l="1"/>
  <c r="R263" i="3"/>
  <c r="P265" i="3" l="1"/>
  <c r="R30" i="3" l="1"/>
  <c r="R31" i="3"/>
  <c r="R32" i="3" l="1"/>
  <c r="R33" i="3" l="1"/>
  <c r="R34" i="3"/>
  <c r="R35" i="3" l="1"/>
  <c r="Q36" i="3"/>
  <c r="R31" i="10" l="1"/>
  <c r="R36" i="3" l="1"/>
  <c r="R84" i="3"/>
  <c r="D50" i="1"/>
  <c r="P7" i="3"/>
  <c r="E50" i="1" l="1"/>
  <c r="B50" i="1" s="1"/>
  <c r="I24" i="3"/>
  <c r="I37" i="3" l="1"/>
  <c r="M33" i="12" s="1"/>
  <c r="M20" i="12"/>
  <c r="H24" i="3"/>
  <c r="I85" i="3"/>
  <c r="M19" i="10"/>
  <c r="I49" i="3"/>
  <c r="M45" i="12" s="1"/>
  <c r="M32" i="10" l="1"/>
  <c r="M80" i="10"/>
  <c r="M81" i="12"/>
  <c r="R24" i="3"/>
  <c r="D19" i="10"/>
  <c r="M44" i="10"/>
  <c r="O25" i="3" l="1"/>
  <c r="L29" i="3"/>
  <c r="R29" i="3" s="1"/>
  <c r="H25" i="3" l="1"/>
  <c r="P37" i="3"/>
  <c r="O61" i="3"/>
  <c r="G56" i="10" s="1"/>
  <c r="O37" i="3"/>
  <c r="O49" i="3" s="1"/>
  <c r="G20" i="10"/>
  <c r="P61" i="3"/>
  <c r="Q61" i="3"/>
  <c r="O73" i="3" l="1"/>
  <c r="G44" i="10"/>
  <c r="Q49" i="3"/>
  <c r="R25" i="3"/>
  <c r="O85" i="3"/>
  <c r="G80" i="10" s="1"/>
  <c r="D20" i="10"/>
  <c r="H37" i="3"/>
  <c r="H49" i="3" s="1"/>
  <c r="D44" i="10" s="1"/>
  <c r="H61" i="3"/>
  <c r="Q32" i="10"/>
  <c r="G32" i="10"/>
  <c r="Q37" i="3"/>
  <c r="R32" i="10" s="1"/>
  <c r="Q56" i="10"/>
  <c r="R56" i="10"/>
  <c r="H73" i="3" l="1"/>
  <c r="P73" i="3"/>
  <c r="Q68" i="10" s="1"/>
  <c r="G68" i="10"/>
  <c r="Q73" i="3"/>
  <c r="R68" i="10" s="1"/>
  <c r="P49" i="3"/>
  <c r="Q44" i="10" s="1"/>
  <c r="R44" i="10"/>
  <c r="D56" i="10"/>
  <c r="D32" i="10"/>
  <c r="Q85" i="3"/>
  <c r="R61" i="3"/>
  <c r="P85" i="3"/>
  <c r="H85" i="3"/>
  <c r="B44" i="1"/>
  <c r="B43" i="1" s="1"/>
  <c r="R37" i="3"/>
  <c r="D68" i="10" l="1"/>
  <c r="R73" i="3"/>
  <c r="R49" i="3"/>
  <c r="Q80" i="10"/>
  <c r="R80" i="10"/>
  <c r="B45" i="1"/>
  <c r="D80" i="10"/>
  <c r="R85" i="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O14" authorId="0" shapeId="0" xr:uid="{1CDF09CA-45E7-4320-982A-91D112575A2D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Safonov Sergii Viktorovych</author>
  </authors>
  <commentList>
    <comment ref="N14" authorId="0" shapeId="0" xr:uid="{00000000-0006-0000-0100-000001000000}">
      <text>
        <r>
          <rPr>
            <b/>
            <sz val="8"/>
            <color indexed="81"/>
            <rFont val="Tahoma"/>
            <family val="2"/>
            <charset val="204"/>
          </rPr>
          <t>У разі наявності пакету "Фамільний" або якщо він не оформлюється ставиться -0, в нішому випадку  зазначається вартість пакету на один рік</t>
        </r>
      </text>
    </comment>
  </commentList>
</comments>
</file>

<file path=xl/sharedStrings.xml><?xml version="1.0" encoding="utf-8"?>
<sst xmlns="http://schemas.openxmlformats.org/spreadsheetml/2006/main" count="402" uniqueCount="168">
  <si>
    <t>Найменування кредитодавця та його структурного або відокремленого підрозділу, в якому поширюється інформація</t>
  </si>
  <si>
    <t>Місцезнаходження кредитодавця та адреса структурного або відокремленого підрозділу, в якому поширюється інформація</t>
  </si>
  <si>
    <t>Ліцензія/Свідоцтво</t>
  </si>
  <si>
    <t>Номер контактного телефону</t>
  </si>
  <si>
    <t>Адреса електронної пошти</t>
  </si>
  <si>
    <t>Адреса офіційного веб-сайту</t>
  </si>
  <si>
    <t>3. Основні умови кредитування з урахуванням побажань споживача</t>
  </si>
  <si>
    <t>Тип кредиту</t>
  </si>
  <si>
    <t>Сума кредиту, грн.</t>
  </si>
  <si>
    <t>Мета отримання кредиту</t>
  </si>
  <si>
    <t>Спосіб та строк надання кредиту</t>
  </si>
  <si>
    <t>Можливі види (форми) забезпечення кредиту</t>
  </si>
  <si>
    <t>Необхідність проведення оцінки забезпечення кредиту</t>
  </si>
  <si>
    <t>Мінімальний розмір власного платежу (фінансової участі) споживача за умови отримання кредиту на придбання товару/роботи/послуги, %</t>
  </si>
  <si>
    <t>Тип процентної ставки</t>
  </si>
  <si>
    <t>Порядок зміни змінюваної процентної ставки</t>
  </si>
  <si>
    <t>Зазначаються розмір платежу та база його розрахунку</t>
  </si>
  <si>
    <t>Загальні витрати за кредитом, грн.</t>
  </si>
  <si>
    <t>Орієнтовна загальна вартість кредиту для споживача за весь строк користування кредитом (у т. ч. тіло кредиту, відсотки, комісії та інші платежі), грн.</t>
  </si>
  <si>
    <t>Реальна річна процентна ставка, відсотків річних</t>
  </si>
  <si>
    <t xml:space="preserve">Застереження: наведені обчислення реальної річної процентної ставки та орієнтовної загальної вартості кредиту для споживача є репрезентативними та базуються на обраних споживачем умовах кредитування, викладених вище, і на припущенні, що договір про споживчий кредит залишатиметься дійсним протягом погодженого строку, а кредитодавець і споживач виконають свої обов'язки на умовах та у строки, визначені в договорі. </t>
  </si>
  <si>
    <t>Реальна річна процентна ставка обчислена на основі припущення, що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кредит.</t>
  </si>
  <si>
    <t>Застереження: використання інших способів надання кредиту та/або зміна інших вищезазначених умов кредитування можуть мати наслідком застосування іншої реальної річної процентної ставки та орієнтовної загальної вартості кредиту для споживача.</t>
  </si>
  <si>
    <t>5. Порядок повернення кредиту</t>
  </si>
  <si>
    <t>Кількість та розмір платежів, періодичність внесення</t>
  </si>
  <si>
    <t>6. Додаткова інформація</t>
  </si>
  <si>
    <t>пеня</t>
  </si>
  <si>
    <t>інші платежі</t>
  </si>
  <si>
    <t>7. Інші важливі правові аспекти</t>
  </si>
  <si>
    <t xml:space="preserve">Споживач має право безкоштовно отримати копію проекту договору про споживчий кредит у письмовій чи електронній формі за своїм вибором. Це положення не застосовується у разі відмови кредитодавця від продовження процесу укладання договору зі споживачем. </t>
  </si>
  <si>
    <t>Споживач має право відмовитися від договору про споживчий кредит протягом 14 календарних днів у порядку та на умовах, визначених Законом України "Про споживче кредитування".</t>
  </si>
  <si>
    <t>Умови договору про споживчий кредит можуть відрізнятися від інформації, наведеної в цьому Паспорті споживчого кредиту, та будуть залежати від проведеної кредитодавцем оцінки кредитоспроможності споживача з урахуванням, зокрема, наданої ним інформації про майновий та сімейний стан, розмір доходів тощо.</t>
  </si>
  <si>
    <t>Підпис кредитодавця:</t>
  </si>
  <si>
    <t>_______________________П. І. Б., _________підпис</t>
  </si>
  <si>
    <t>Підтверджую отримання та ознайомлення з інформацією про умови кредитування та орієнтовну загальну вартість кредиту, надані виходячи із обраних мною умов кредитування.</t>
  </si>
  <si>
    <t xml:space="preserve">Підтверджую отримання мною всіх пояснень, необхідних для забезпечення можливості оцінити, чи адаптовано договір до моїх потреб та фінансової ситуації, зокрема шляхом роз'яснення наведеної інформації, в тому числі суттєвих характеристик запропонованих послуг та певних наслідків, які вони можуть мати для мене, в тому числі в разі невиконання мною зобов'язань за таким договором. </t>
  </si>
  <si>
    <t>Підпис споживача:</t>
  </si>
  <si>
    <t xml:space="preserve">__ __ ____Дата, _____________П. І. Б., __________підпис. </t>
  </si>
  <si>
    <t>Відсоткова ставка</t>
  </si>
  <si>
    <t>Строк кредиту, міс</t>
  </si>
  <si>
    <t>Сумма кредиту, грн</t>
  </si>
  <si>
    <t>№</t>
  </si>
  <si>
    <t>Дата платежу</t>
  </si>
  <si>
    <t>Кіль-кість днів у звітньо-му періоді</t>
  </si>
  <si>
    <t>Залишок основного боргу для нарахування відсотків</t>
  </si>
  <si>
    <t>Погашення основної суми кредиту</t>
  </si>
  <si>
    <t>Орієнтовна сума відсотків</t>
  </si>
  <si>
    <t>Орієнтовна сума платежу за розрахунковий період</t>
  </si>
  <si>
    <t>Одноразова комісія за надання кредиту</t>
  </si>
  <si>
    <t>Одноразова комісія за надання кредиту, грн</t>
  </si>
  <si>
    <t>відсутні</t>
  </si>
  <si>
    <t>Маржа</t>
  </si>
  <si>
    <t>Дата початку плаваючої ставки</t>
  </si>
  <si>
    <t>ПМ</t>
  </si>
  <si>
    <t>Загальна вартість кредиту, грн</t>
  </si>
  <si>
    <t>кредит</t>
  </si>
  <si>
    <t>за власні кошти</t>
  </si>
  <si>
    <t>Комісія за надання кредиту, % від суми кредиту</t>
  </si>
  <si>
    <t>відсутнє</t>
  </si>
  <si>
    <t>наявне</t>
  </si>
  <si>
    <t>Загальна вартість кредиту, грн.</t>
  </si>
  <si>
    <t>Реальна річна процентна ставка, %</t>
  </si>
  <si>
    <t>-</t>
  </si>
  <si>
    <t>Розрахунково-касове обслуговування, грн</t>
  </si>
  <si>
    <t>Діючий Індекс UIDR (12 міс у гривні)</t>
  </si>
  <si>
    <t>Споживач має право достроково повернути споживчий кредит без будь-якої додаткової плати, пов'язаної з достроковим поверненням. Договором про споживчий кредит може бути встановлений обов'язок повідомлення кредитодавця про намір дострокового повернення кредиту з оформленням відповідного документа.</t>
  </si>
  <si>
    <t>Одноразова комісія за надання кредиту, % від суми кредиту</t>
  </si>
  <si>
    <t>Найменування кредитного посередника</t>
  </si>
  <si>
    <t>Місцезнаходження</t>
  </si>
  <si>
    <t>Адреса офіційного веб-сайту*</t>
  </si>
  <si>
    <t>Строк кредитування</t>
  </si>
  <si>
    <t xml:space="preserve"> міс.</t>
  </si>
  <si>
    <t>Застереження: витрати на такі послуги можуть змінюватися протягом строку дії договору про споживчий кредит</t>
  </si>
  <si>
    <t>Платежі за послуги кредитного посередника, що підлягають сплаті споживачем, грн.*</t>
  </si>
  <si>
    <t>[зазначаються розмір платежу, база його розрахунку та умови його застосування]</t>
  </si>
  <si>
    <t>штрафи</t>
  </si>
  <si>
    <t>2. Посулуги оцінювача</t>
  </si>
  <si>
    <t>3. Послуга страховика</t>
  </si>
  <si>
    <t>4. Інші послуги третіх осіб</t>
  </si>
  <si>
    <t>Послуги третіх осіб</t>
  </si>
  <si>
    <t>Послуги нотаріуса</t>
  </si>
  <si>
    <t>Послуги оцінювача</t>
  </si>
  <si>
    <t>Послуги страховика</t>
  </si>
  <si>
    <t>Інші послуги третіх осіб</t>
  </si>
  <si>
    <t>Інші послуги банка</t>
  </si>
  <si>
    <t>Додаткові витрати, повязані з оформленням кредиту</t>
  </si>
  <si>
    <t>Послуги нотаріуса, грн</t>
  </si>
  <si>
    <t>Послуги оцінювача, грн</t>
  </si>
  <si>
    <t>Інші послуги банку</t>
  </si>
  <si>
    <t>Пакет "Фамільний"</t>
  </si>
  <si>
    <t>застава</t>
  </si>
  <si>
    <t>позичальник</t>
  </si>
  <si>
    <t>Грошовий потік</t>
  </si>
  <si>
    <t>Відсоткова ставка з 25 місяця</t>
  </si>
  <si>
    <t xml:space="preserve">1. Послуги нотаріуса </t>
  </si>
  <si>
    <t>4. Інформація щодо орієнтовної реальної річної процентної ставки та орієнтовної загальної вартості кредиту для споживача</t>
  </si>
  <si>
    <t xml:space="preserve">Дата надання інформації: </t>
  </si>
  <si>
    <t xml:space="preserve">Ця інформація зберігає чинність та є актуальною до </t>
  </si>
  <si>
    <t xml:space="preserve">Фіксована </t>
  </si>
  <si>
    <t>АКЦІОНЕРНЕ ТОВАРИСТВО «БАНК ІНВЕСТИЦІЙ ТА ЗАОЩАДЖЕНЬ»</t>
  </si>
  <si>
    <t>Україна, 04119, м. Київ, вул. Юрія Іллєнка, 83-Д</t>
  </si>
  <si>
    <t>Ліцензія Національного банку України №221 від 09 серпня 2005 р.</t>
  </si>
  <si>
    <t>0 800 50 30 05</t>
  </si>
  <si>
    <t>info@bisbank.com.ua</t>
  </si>
  <si>
    <t>https://www.bisbank.com.ua/</t>
  </si>
  <si>
    <t>Дата кредиту</t>
  </si>
  <si>
    <t>Дата погашення</t>
  </si>
  <si>
    <t>Страхування застави %/грн</t>
  </si>
  <si>
    <t>Страхування позичальника,%/грн</t>
  </si>
  <si>
    <r>
      <t xml:space="preserve">1.        </t>
    </r>
    <r>
      <rPr>
        <b/>
        <sz val="11"/>
        <color theme="1"/>
        <rFont val="Times New Roman"/>
        <family val="1"/>
        <charset val="204"/>
      </rPr>
      <t>Інформація та контактні дані кредитодавця</t>
    </r>
  </si>
  <si>
    <t>2.        Інформація та контактні дані кредитного посередника – не залучається</t>
  </si>
  <si>
    <t>строковий кредит</t>
  </si>
  <si>
    <t>споживчий кредит під заставу нерухомості</t>
  </si>
  <si>
    <t>Безготівковим шляхом на поточний рахунок позичальника</t>
  </si>
  <si>
    <r>
      <t>Наслідки прострочення виконання та/або невиконання зобов'язань за договором про споживчий кредит:</t>
    </r>
    <r>
      <rPr>
        <sz val="11"/>
        <color theme="1"/>
        <rFont val="Calibri"/>
        <family val="2"/>
        <charset val="204"/>
        <scheme val="minor"/>
      </rPr>
      <t> </t>
    </r>
  </si>
  <si>
    <t>Зазначені у графіку платежів - Додаткок 1 до цього Паспорту споживчого кредиту</t>
  </si>
  <si>
    <t>За повне або часткове прострочення повернення Кредиту та/або
сплати процентів за користування Кредитом Позичальник
забов’язаний сплатити Банку пеню у розмірі подвійної облікової
ставки Національного банку України, що діяла у період, за який
стягується пеня, від простроченої суми за кожний день прострочення,
але не більше 15 (п’ятнадцяти) відсотків суми простроченого
платежу. Пеня нараховується, виходячи з фактичної кількості днів у
місяці та році.</t>
  </si>
  <si>
    <t>процентна ставка, яка застосовується при невиконанні зобов’язання щодо повернення кредиту</t>
  </si>
  <si>
    <t>відсутня</t>
  </si>
  <si>
    <t xml:space="preserve"> Процентна ставка, відсотків річних </t>
  </si>
  <si>
    <t>Мінімальна вартість ТЗ, грн</t>
  </si>
  <si>
    <t>Таблиця обчислення орієнтовної вартості споживчого кредиту під заставу рухомого майна</t>
  </si>
  <si>
    <t>Щомісячна комісія</t>
  </si>
  <si>
    <t>№ з/п</t>
  </si>
  <si>
    <t>Дата видачі кредиту/дата платежу</t>
  </si>
  <si>
    <t>Кількість днів у розрахунковому періоді</t>
  </si>
  <si>
    <t>Чиста сума кредиту/сума платежу за розрахунковий період, грн.</t>
  </si>
  <si>
    <t>Види платежів за кредитом</t>
  </si>
  <si>
    <t>сума кредиту за договором</t>
  </si>
  <si>
    <t>проценти за користування кредитом</t>
  </si>
  <si>
    <t>платежі за додаткові та супутні послуги</t>
  </si>
  <si>
    <t>банку</t>
  </si>
  <si>
    <t>третіх осіб</t>
  </si>
  <si>
    <t>за обслуговування кредитної заборгованості</t>
  </si>
  <si>
    <t>розрахунково-касове обслуговування</t>
  </si>
  <si>
    <t>комісія за надання кредиту</t>
  </si>
  <si>
    <t>комісійний збір</t>
  </si>
  <si>
    <t>послуги нотаріуса</t>
  </si>
  <si>
    <t>послуги оцінювача</t>
  </si>
  <si>
    <t>послуги страховика</t>
  </si>
  <si>
    <t>інша плата за послуги кредитного посередника</t>
  </si>
  <si>
    <t xml:space="preserve">кредитного посередника </t>
  </si>
  <si>
    <t>інші послуги третіх осіб</t>
  </si>
  <si>
    <t>інші послуги банку</t>
  </si>
  <si>
    <t xml:space="preserve"> </t>
  </si>
  <si>
    <t xml:space="preserve">  </t>
  </si>
  <si>
    <t>Таблиця обчислення орієнтовної вартості споживчого кредиту</t>
  </si>
  <si>
    <t>Щомісячна комісія за обслуговування кредиту, % від суми кредиту</t>
  </si>
  <si>
    <t>Розрахунково-касове обслуговування кредиту (річне/ щомісячне), грн</t>
  </si>
  <si>
    <t>так</t>
  </si>
  <si>
    <t xml:space="preserve">Паспорт споживчого кредиту </t>
  </si>
  <si>
    <t>Платежі за супровідні послуги кредитодавця, обов'язкові для укладання договору, грн.:</t>
  </si>
  <si>
    <t>Платежі за супровідні послуги третіх осіб, обов'язкові для укладення договору/отримання кредиту, грн:</t>
  </si>
  <si>
    <t>Щомісячна комісія,%  від суми кредиту</t>
  </si>
  <si>
    <t>Разова комісія,%  від суми кредиту</t>
  </si>
  <si>
    <t>Комісія за надання кредиту, грн :</t>
  </si>
  <si>
    <t xml:space="preserve">  УВАГА! Заповнюються дані в клітинках, що залиті зеленим фоном (наведені розрахунки є орієнтовними)</t>
  </si>
  <si>
    <t>%  ставка за перший розрахунковий період:</t>
  </si>
  <si>
    <t>%  ставка за другий розрахунковий період:</t>
  </si>
  <si>
    <t>Процентна  ставка,% річних</t>
  </si>
  <si>
    <t>Строк кредиту, міс.</t>
  </si>
  <si>
    <t>Примітка: 
обчислення реальної процентної ставки базується на припущенні, що:
1) договір про споживчий кредит залишається дійсним протягом погодженого терміну кредитування та що кредитодавець і споживач виконають свої обов`язки на умовах та у строки, визначені в договорі;
2) процентна ставка та інші платежі за послуги кредитодавця залишатимуться незмінними та застосовуватимуться протягом строку дії договору про споживчий кредит (для отримання та погашення кредиту використовуються доступні безкоштовні канали).</t>
  </si>
  <si>
    <t>Таблиця обчислення загальної вартості кредиту для споживача та реальної річної процентної ставки за договором про споживчий кредит
на  споживчі цілі, а саме: на купівлю транспортних засобів  (у  разі непідтвердження цільового використання кредиту -  ненадання до Банку Свідоцтва про реєстрацію транспортного засобу)</t>
  </si>
  <si>
    <t>Таблиця обчислення загальної вартості кредиту для споживача та реальної річної процентної ставки за договором про споживчий кредит
на  споживчі цілі, а саме: на купівлю транспортних засобів  (в т.ч. у  разі надання  Свідоцтва про реєстрацію транспортного засобу)</t>
  </si>
  <si>
    <t>Процентна ставка, % річних</t>
  </si>
  <si>
    <t>Відсоткова ставка 1</t>
  </si>
  <si>
    <t xml:space="preserve">                                                          Види платежів за кредитом</t>
  </si>
  <si>
    <t>Всього: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</si>
</sst>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0.0%"/>
    <numFmt numFmtId="166" formatCode="#,##0.00_ ;[Red]\-#,##0.00\ "/>
  </numFmts>
  <fonts count="29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4"/>
      <name val="Arial Cyr"/>
      <charset val="204"/>
    </font>
    <font>
      <sz val="10"/>
      <color indexed="8"/>
      <name val="Arial"/>
      <family val="2"/>
      <charset val="204"/>
    </font>
    <font>
      <sz val="9"/>
      <color theme="1"/>
      <name val="Calibri"/>
      <family val="2"/>
      <charset val="204"/>
      <scheme val="minor"/>
    </font>
    <font>
      <b/>
      <sz val="9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1"/>
      <color theme="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8"/>
      <color indexed="81"/>
      <name val="Tahoma"/>
      <family val="2"/>
      <charset val="204"/>
    </font>
    <font>
      <b/>
      <sz val="11"/>
      <color rgb="FFFF0000"/>
      <name val="Calibri"/>
      <family val="2"/>
      <charset val="204"/>
      <scheme val="minor"/>
    </font>
    <font>
      <sz val="9"/>
      <color theme="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FF0000"/>
      <name val="Arial"/>
      <family val="2"/>
      <charset val="204"/>
    </font>
    <font>
      <sz val="11"/>
      <name val="Times New Roman"/>
      <family val="1"/>
      <charset val="204"/>
    </font>
    <font>
      <sz val="11"/>
      <color theme="0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sz val="10"/>
      <color rgb="FFFF0000"/>
      <name val="Calibri"/>
      <family val="2"/>
      <charset val="204"/>
      <scheme val="minor"/>
    </font>
    <font>
      <b/>
      <sz val="10"/>
      <color rgb="FFFF0000"/>
      <name val="Calibri"/>
      <family val="2"/>
      <charset val="204"/>
      <scheme val="minor"/>
    </font>
    <font>
      <b/>
      <i/>
      <sz val="12"/>
      <name val="Times New Roman"/>
      <family val="1"/>
      <charset val="204"/>
    </font>
    <font>
      <b/>
      <sz val="12"/>
      <color rgb="FFFF0000"/>
      <name val="Times New Roman"/>
      <family val="1"/>
      <charset val="204"/>
    </font>
    <font>
      <sz val="12"/>
      <name val="Times New Roman"/>
      <family val="1"/>
      <charset val="204"/>
    </font>
    <font>
      <b/>
      <sz val="11"/>
      <name val="Times New Roman"/>
      <family val="1"/>
      <charset val="204"/>
    </font>
    <font>
      <b/>
      <sz val="12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42F62A"/>
        <bgColor indexed="64"/>
      </patternFill>
    </fill>
  </fills>
  <borders count="3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theme="0"/>
      </top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theme="3" tint="0.39997558519241921"/>
      </bottom>
      <diagonal/>
    </border>
    <border>
      <left style="thin">
        <color theme="3" tint="0.39997558519241921"/>
      </left>
      <right/>
      <top/>
      <bottom style="thin">
        <color theme="3" tint="0.3999755851924192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3" fillId="0" borderId="0"/>
    <xf numFmtId="9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6" fillId="0" borderId="0" applyNumberFormat="0" applyFill="0" applyBorder="0" applyAlignment="0" applyProtection="0"/>
  </cellStyleXfs>
  <cellXfs count="233">
    <xf numFmtId="0" fontId="0" fillId="0" borderId="0" xfId="0"/>
    <xf numFmtId="0" fontId="5" fillId="0" borderId="0" xfId="0" applyFont="1" applyAlignment="1" applyProtection="1">
      <alignment horizontal="left" wrapText="1"/>
      <protection hidden="1"/>
    </xf>
    <xf numFmtId="0" fontId="5" fillId="0" borderId="0" xfId="0" applyFont="1" applyAlignment="1" applyProtection="1">
      <alignment wrapText="1"/>
      <protection hidden="1"/>
    </xf>
    <xf numFmtId="0" fontId="0" fillId="2" borderId="0" xfId="0" applyFill="1"/>
    <xf numFmtId="0" fontId="4" fillId="2" borderId="0" xfId="1" applyFont="1" applyFill="1" applyAlignment="1" applyProtection="1">
      <alignment horizontal="left"/>
      <protection locked="0" hidden="1"/>
    </xf>
    <xf numFmtId="0" fontId="5" fillId="2" borderId="0" xfId="0" applyFont="1" applyFill="1" applyAlignment="1" applyProtection="1">
      <alignment wrapText="1"/>
      <protection hidden="1"/>
    </xf>
    <xf numFmtId="0" fontId="5" fillId="2" borderId="0" xfId="0" applyFont="1" applyFill="1" applyAlignment="1" applyProtection="1">
      <alignment horizontal="left" wrapText="1"/>
      <protection hidden="1"/>
    </xf>
    <xf numFmtId="0" fontId="5" fillId="0" borderId="0" xfId="0" applyFont="1" applyAlignment="1" applyProtection="1">
      <alignment horizontal="center" wrapText="1"/>
      <protection hidden="1"/>
    </xf>
    <xf numFmtId="0" fontId="7" fillId="2" borderId="0" xfId="0" applyFont="1" applyFill="1"/>
    <xf numFmtId="0" fontId="5" fillId="2" borderId="11" xfId="0" applyFont="1" applyFill="1" applyBorder="1" applyAlignment="1" applyProtection="1">
      <alignment horizontal="left" wrapText="1"/>
      <protection hidden="1"/>
    </xf>
    <xf numFmtId="0" fontId="5" fillId="2" borderId="12" xfId="0" applyFont="1" applyFill="1" applyBorder="1" applyAlignment="1" applyProtection="1">
      <alignment horizontal="left" wrapText="1"/>
      <protection hidden="1"/>
    </xf>
    <xf numFmtId="0" fontId="5" fillId="2" borderId="16" xfId="0" applyFont="1" applyFill="1" applyBorder="1" applyAlignment="1" applyProtection="1">
      <alignment horizontal="left" wrapText="1"/>
      <protection hidden="1"/>
    </xf>
    <xf numFmtId="0" fontId="5" fillId="2" borderId="13" xfId="0" applyFont="1" applyFill="1" applyBorder="1" applyAlignment="1" applyProtection="1">
      <alignment wrapText="1"/>
      <protection hidden="1"/>
    </xf>
    <xf numFmtId="4" fontId="7" fillId="2" borderId="0" xfId="0" applyNumberFormat="1" applyFont="1" applyFill="1"/>
    <xf numFmtId="0" fontId="0" fillId="0" borderId="0" xfId="0" applyAlignment="1" applyProtection="1">
      <alignment horizontal="left" wrapText="1"/>
      <protection hidden="1"/>
    </xf>
    <xf numFmtId="0" fontId="6" fillId="3" borderId="10" xfId="0" applyFont="1" applyFill="1" applyBorder="1" applyAlignment="1" applyProtection="1">
      <alignment vertical="center" wrapText="1"/>
      <protection hidden="1"/>
    </xf>
    <xf numFmtId="10" fontId="5" fillId="0" borderId="0" xfId="0" applyNumberFormat="1" applyFont="1" applyAlignment="1" applyProtection="1">
      <alignment horizontal="center" wrapText="1"/>
      <protection hidden="1"/>
    </xf>
    <xf numFmtId="4" fontId="5" fillId="0" borderId="0" xfId="0" applyNumberFormat="1" applyFont="1" applyAlignment="1" applyProtection="1">
      <alignment horizontal="center" wrapText="1"/>
      <protection hidden="1"/>
    </xf>
    <xf numFmtId="0" fontId="13" fillId="2" borderId="0" xfId="0" applyFont="1" applyFill="1"/>
    <xf numFmtId="14" fontId="7" fillId="2" borderId="0" xfId="0" applyNumberFormat="1" applyFont="1" applyFill="1"/>
    <xf numFmtId="0" fontId="1" fillId="2" borderId="0" xfId="0" applyFont="1" applyFill="1" applyAlignment="1" applyProtection="1">
      <alignment horizontal="center"/>
      <protection hidden="1"/>
    </xf>
    <xf numFmtId="0" fontId="0" fillId="0" borderId="0" xfId="0" applyProtection="1">
      <protection hidden="1"/>
    </xf>
    <xf numFmtId="0" fontId="0" fillId="2" borderId="0" xfId="0" applyFill="1" applyProtection="1">
      <protection hidden="1"/>
    </xf>
    <xf numFmtId="0" fontId="1" fillId="2" borderId="0" xfId="0" applyFont="1" applyFill="1" applyProtection="1">
      <protection hidden="1"/>
    </xf>
    <xf numFmtId="4" fontId="0" fillId="0" borderId="0" xfId="0" applyNumberFormat="1" applyProtection="1">
      <protection hidden="1"/>
    </xf>
    <xf numFmtId="10" fontId="7" fillId="0" borderId="0" xfId="0" applyNumberFormat="1" applyFont="1" applyProtection="1">
      <protection locked="0" hidden="1"/>
    </xf>
    <xf numFmtId="0" fontId="11" fillId="0" borderId="0" xfId="0" applyFont="1" applyProtection="1">
      <protection hidden="1"/>
    </xf>
    <xf numFmtId="4" fontId="11" fillId="0" borderId="0" xfId="0" applyNumberFormat="1" applyFont="1" applyProtection="1">
      <protection hidden="1"/>
    </xf>
    <xf numFmtId="0" fontId="15" fillId="2" borderId="0" xfId="0" applyFont="1" applyFill="1" applyProtection="1">
      <protection hidden="1"/>
    </xf>
    <xf numFmtId="4" fontId="7" fillId="0" borderId="0" xfId="0" applyNumberFormat="1" applyFont="1" applyProtection="1">
      <protection hidden="1"/>
    </xf>
    <xf numFmtId="0" fontId="13" fillId="2" borderId="0" xfId="0" applyFont="1" applyFill="1" applyAlignment="1" applyProtection="1">
      <alignment wrapText="1"/>
      <protection hidden="1"/>
    </xf>
    <xf numFmtId="0" fontId="0" fillId="2" borderId="19" xfId="0" applyFill="1" applyBorder="1" applyProtection="1">
      <protection hidden="1"/>
    </xf>
    <xf numFmtId="0" fontId="0" fillId="2" borderId="18" xfId="0" applyFill="1" applyBorder="1" applyProtection="1">
      <protection hidden="1"/>
    </xf>
    <xf numFmtId="4" fontId="7" fillId="0" borderId="0" xfId="0" applyNumberFormat="1" applyFont="1" applyProtection="1">
      <protection locked="0" hidden="1"/>
    </xf>
    <xf numFmtId="4" fontId="7" fillId="2" borderId="0" xfId="0" applyNumberFormat="1" applyFont="1" applyFill="1" applyProtection="1">
      <protection locked="0" hidden="1"/>
    </xf>
    <xf numFmtId="0" fontId="15" fillId="2" borderId="0" xfId="0" applyFont="1" applyFill="1" applyAlignment="1" applyProtection="1">
      <alignment wrapText="1"/>
      <protection hidden="1"/>
    </xf>
    <xf numFmtId="10" fontId="7" fillId="2" borderId="0" xfId="0" applyNumberFormat="1" applyFont="1" applyFill="1" applyProtection="1">
      <protection locked="0" hidden="1"/>
    </xf>
    <xf numFmtId="4" fontId="7" fillId="2" borderId="0" xfId="0" applyNumberFormat="1" applyFont="1" applyFill="1" applyProtection="1">
      <protection hidden="1"/>
    </xf>
    <xf numFmtId="0" fontId="0" fillId="2" borderId="0" xfId="0" applyFill="1" applyProtection="1">
      <protection locked="0" hidden="1"/>
    </xf>
    <xf numFmtId="10" fontId="7" fillId="2" borderId="0" xfId="0" applyNumberFormat="1" applyFont="1" applyFill="1" applyProtection="1">
      <protection hidden="1"/>
    </xf>
    <xf numFmtId="0" fontId="0" fillId="3" borderId="2" xfId="0" applyFill="1" applyBorder="1" applyProtection="1">
      <protection hidden="1"/>
    </xf>
    <xf numFmtId="0" fontId="0" fillId="3" borderId="9" xfId="0" applyFill="1" applyBorder="1" applyProtection="1">
      <protection hidden="1"/>
    </xf>
    <xf numFmtId="4" fontId="0" fillId="2" borderId="0" xfId="0" applyNumberFormat="1" applyFill="1" applyProtection="1">
      <protection locked="0" hidden="1"/>
    </xf>
    <xf numFmtId="0" fontId="7" fillId="2" borderId="0" xfId="0" applyFont="1" applyFill="1" applyAlignment="1" applyProtection="1">
      <alignment wrapText="1"/>
      <protection hidden="1"/>
    </xf>
    <xf numFmtId="0" fontId="0" fillId="2" borderId="14" xfId="0" applyFill="1" applyBorder="1" applyProtection="1">
      <protection hidden="1"/>
    </xf>
    <xf numFmtId="0" fontId="7" fillId="2" borderId="0" xfId="0" applyFont="1" applyFill="1" applyProtection="1">
      <protection hidden="1"/>
    </xf>
    <xf numFmtId="0" fontId="7" fillId="0" borderId="0" xfId="0" applyFont="1" applyAlignment="1" applyProtection="1">
      <alignment wrapText="1"/>
      <protection hidden="1"/>
    </xf>
    <xf numFmtId="0" fontId="7" fillId="0" borderId="0" xfId="0" applyFont="1" applyProtection="1">
      <protection hidden="1"/>
    </xf>
    <xf numFmtId="0" fontId="0" fillId="2" borderId="2" xfId="0" applyFill="1" applyBorder="1" applyProtection="1">
      <protection hidden="1"/>
    </xf>
    <xf numFmtId="0" fontId="0" fillId="2" borderId="9" xfId="0" applyFill="1" applyBorder="1" applyProtection="1">
      <protection hidden="1"/>
    </xf>
    <xf numFmtId="0" fontId="0" fillId="2" borderId="6" xfId="0" applyFill="1" applyBorder="1" applyProtection="1">
      <protection hidden="1"/>
    </xf>
    <xf numFmtId="0" fontId="0" fillId="2" borderId="1" xfId="0" applyFill="1" applyBorder="1" applyProtection="1">
      <protection hidden="1"/>
    </xf>
    <xf numFmtId="4" fontId="0" fillId="0" borderId="0" xfId="0" applyNumberFormat="1" applyProtection="1">
      <protection locked="0" hidden="1"/>
    </xf>
    <xf numFmtId="10" fontId="10" fillId="2" borderId="0" xfId="0" applyNumberFormat="1" applyFont="1" applyFill="1" applyProtection="1">
      <protection hidden="1"/>
    </xf>
    <xf numFmtId="0" fontId="0" fillId="2" borderId="11" xfId="0" applyFill="1" applyBorder="1" applyProtection="1">
      <protection hidden="1"/>
    </xf>
    <xf numFmtId="14" fontId="0" fillId="0" borderId="0" xfId="0" applyNumberFormat="1" applyAlignment="1" applyProtection="1">
      <alignment horizontal="center"/>
      <protection hidden="1"/>
    </xf>
    <xf numFmtId="4" fontId="0" fillId="0" borderId="0" xfId="0" applyNumberFormat="1" applyAlignment="1" applyProtection="1">
      <alignment horizontal="center"/>
      <protection hidden="1"/>
    </xf>
    <xf numFmtId="4" fontId="11" fillId="0" borderId="0" xfId="0" applyNumberFormat="1" applyFont="1" applyAlignment="1" applyProtection="1">
      <alignment horizontal="center"/>
      <protection hidden="1"/>
    </xf>
    <xf numFmtId="0" fontId="0" fillId="0" borderId="0" xfId="0" applyAlignment="1" applyProtection="1">
      <alignment horizontal="center"/>
      <protection hidden="1"/>
    </xf>
    <xf numFmtId="165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Alignment="1" applyProtection="1">
      <alignment horizontal="center"/>
      <protection hidden="1"/>
    </xf>
    <xf numFmtId="1" fontId="0" fillId="0" borderId="0" xfId="0" applyNumberFormat="1" applyProtection="1">
      <protection hidden="1"/>
    </xf>
    <xf numFmtId="4" fontId="0" fillId="2" borderId="0" xfId="0" applyNumberFormat="1" applyFill="1" applyAlignment="1" applyProtection="1">
      <alignment horizontal="center"/>
      <protection hidden="1"/>
    </xf>
    <xf numFmtId="14" fontId="0" fillId="0" borderId="0" xfId="0" applyNumberFormat="1" applyProtection="1">
      <protection hidden="1"/>
    </xf>
    <xf numFmtId="10" fontId="0" fillId="0" borderId="1" xfId="0" applyNumberFormat="1" applyBorder="1" applyProtection="1">
      <protection locked="0" hidden="1"/>
    </xf>
    <xf numFmtId="4" fontId="0" fillId="0" borderId="1" xfId="0" applyNumberFormat="1" applyBorder="1" applyAlignment="1" applyProtection="1">
      <alignment horizontal="center"/>
      <protection locked="0" hidden="1"/>
    </xf>
    <xf numFmtId="0" fontId="0" fillId="0" borderId="2" xfId="0" applyBorder="1" applyProtection="1">
      <protection hidden="1"/>
    </xf>
    <xf numFmtId="0" fontId="0" fillId="0" borderId="9" xfId="0" applyBorder="1" applyProtection="1">
      <protection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15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5" xfId="0" applyFont="1" applyFill="1" applyBorder="1" applyAlignment="1" applyProtection="1">
      <alignment horizontal="center" vertical="center" wrapText="1"/>
      <protection hidden="1"/>
    </xf>
    <xf numFmtId="0" fontId="18" fillId="2" borderId="0" xfId="1" applyFont="1" applyFill="1" applyAlignment="1" applyProtection="1">
      <alignment horizontal="left"/>
      <protection locked="0" hidden="1"/>
    </xf>
    <xf numFmtId="0" fontId="15" fillId="2" borderId="0" xfId="0" applyFont="1" applyFill="1"/>
    <xf numFmtId="0" fontId="2" fillId="2" borderId="0" xfId="0" applyFont="1" applyFill="1" applyAlignment="1">
      <alignment vertical="center"/>
    </xf>
    <xf numFmtId="0" fontId="9" fillId="2" borderId="1" xfId="0" applyFont="1" applyFill="1" applyBorder="1" applyAlignment="1">
      <alignment vertical="center" wrapText="1"/>
    </xf>
    <xf numFmtId="0" fontId="19" fillId="2" borderId="1" xfId="0" applyFont="1" applyFill="1" applyBorder="1" applyAlignment="1">
      <alignment horizontal="left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0" fillId="2" borderId="1" xfId="0" applyFill="1" applyBorder="1"/>
    <xf numFmtId="0" fontId="19" fillId="2" borderId="1" xfId="0" applyFont="1" applyFill="1" applyBorder="1" applyAlignment="1">
      <alignment horizontal="justify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1" xfId="0" applyFont="1" applyFill="1" applyBorder="1" applyAlignment="1">
      <alignment horizontal="justify" vertical="center" wrapText="1"/>
    </xf>
    <xf numFmtId="166" fontId="7" fillId="2" borderId="0" xfId="0" applyNumberFormat="1" applyFont="1" applyFill="1" applyAlignment="1" applyProtection="1">
      <alignment horizontal="center"/>
      <protection hidden="1"/>
    </xf>
    <xf numFmtId="0" fontId="9" fillId="0" borderId="0" xfId="0" applyFont="1" applyAlignment="1">
      <alignment horizontal="center" vertical="center" wrapText="1"/>
    </xf>
    <xf numFmtId="4" fontId="9" fillId="0" borderId="0" xfId="0" applyNumberFormat="1" applyFont="1" applyAlignment="1">
      <alignment vertical="top" wrapText="1"/>
    </xf>
    <xf numFmtId="4" fontId="7" fillId="5" borderId="0" xfId="0" applyNumberFormat="1" applyFont="1" applyFill="1" applyAlignment="1" applyProtection="1">
      <alignment horizontal="center"/>
      <protection hidden="1"/>
    </xf>
    <xf numFmtId="0" fontId="21" fillId="0" borderId="0" xfId="0" applyFont="1" applyAlignment="1">
      <alignment vertical="center"/>
    </xf>
    <xf numFmtId="0" fontId="22" fillId="0" borderId="0" xfId="0" applyFont="1" applyAlignment="1">
      <alignment wrapText="1"/>
    </xf>
    <xf numFmtId="4" fontId="0" fillId="0" borderId="0" xfId="0" applyNumberFormat="1"/>
    <xf numFmtId="0" fontId="23" fillId="0" borderId="0" xfId="0" applyFont="1" applyAlignment="1">
      <alignment horizontal="center" wrapText="1"/>
    </xf>
    <xf numFmtId="0" fontId="9" fillId="0" borderId="1" xfId="0" applyFont="1" applyBorder="1" applyAlignment="1">
      <alignment horizontal="center" vertical="center" wrapText="1"/>
    </xf>
    <xf numFmtId="0" fontId="24" fillId="0" borderId="0" xfId="0" applyFont="1" applyAlignment="1" applyProtection="1">
      <alignment horizontal="center" vertical="center"/>
      <protection hidden="1"/>
    </xf>
    <xf numFmtId="0" fontId="25" fillId="0" borderId="0" xfId="0" applyFont="1" applyAlignment="1" applyProtection="1">
      <alignment horizontal="left" vertical="center"/>
      <protection hidden="1"/>
    </xf>
    <xf numFmtId="0" fontId="26" fillId="0" borderId="0" xfId="0" applyFont="1" applyProtection="1">
      <protection hidden="1"/>
    </xf>
    <xf numFmtId="0" fontId="20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10" fontId="9" fillId="0" borderId="1" xfId="0" applyNumberFormat="1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14" fontId="19" fillId="0" borderId="1" xfId="0" applyNumberFormat="1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4" fontId="19" fillId="0" borderId="1" xfId="0" applyNumberFormat="1" applyFont="1" applyBorder="1" applyAlignment="1">
      <alignment horizontal="center" vertical="center" wrapText="1"/>
    </xf>
    <xf numFmtId="0" fontId="0" fillId="0" borderId="1" xfId="0" applyBorder="1"/>
    <xf numFmtId="165" fontId="9" fillId="0" borderId="1" xfId="0" applyNumberFormat="1" applyFont="1" applyBorder="1" applyAlignment="1">
      <alignment horizontal="center" vertical="center" wrapText="1"/>
    </xf>
    <xf numFmtId="0" fontId="9" fillId="0" borderId="0" xfId="0" applyFont="1" applyAlignment="1" applyProtection="1">
      <alignment horizontal="right"/>
      <protection hidden="1"/>
    </xf>
    <xf numFmtId="10" fontId="9" fillId="0" borderId="0" xfId="0" applyNumberFormat="1" applyFont="1"/>
    <xf numFmtId="0" fontId="26" fillId="0" borderId="0" xfId="0" applyFont="1" applyAlignment="1" applyProtection="1">
      <alignment horizontal="right"/>
      <protection hidden="1"/>
    </xf>
    <xf numFmtId="10" fontId="0" fillId="0" borderId="0" xfId="0" applyNumberFormat="1"/>
    <xf numFmtId="4" fontId="9" fillId="0" borderId="1" xfId="0" applyNumberFormat="1" applyFont="1" applyBorder="1" applyAlignment="1">
      <alignment horizontal="right" vertical="center" wrapText="1"/>
    </xf>
    <xf numFmtId="0" fontId="9" fillId="0" borderId="1" xfId="0" applyFont="1" applyBorder="1" applyAlignment="1">
      <alignment horizontal="right" vertical="center" wrapText="1"/>
    </xf>
    <xf numFmtId="4" fontId="9" fillId="0" borderId="1" xfId="0" applyNumberFormat="1" applyFont="1" applyBorder="1" applyAlignment="1">
      <alignment horizontal="right" vertical="top" wrapText="1"/>
    </xf>
    <xf numFmtId="10" fontId="9" fillId="0" borderId="0" xfId="0" applyNumberFormat="1" applyFont="1" applyBorder="1"/>
    <xf numFmtId="4" fontId="9" fillId="0" borderId="0" xfId="0" applyNumberFormat="1" applyFont="1" applyBorder="1"/>
    <xf numFmtId="4" fontId="8" fillId="0" borderId="0" xfId="0" applyNumberFormat="1" applyFont="1" applyBorder="1"/>
    <xf numFmtId="10" fontId="8" fillId="0" borderId="0" xfId="0" applyNumberFormat="1" applyFont="1" applyBorder="1"/>
    <xf numFmtId="10" fontId="8" fillId="0" borderId="32" xfId="0" applyNumberFormat="1" applyFont="1" applyBorder="1"/>
    <xf numFmtId="10" fontId="8" fillId="0" borderId="20" xfId="0" applyNumberFormat="1" applyFont="1" applyBorder="1"/>
    <xf numFmtId="4" fontId="8" fillId="0" borderId="20" xfId="0" applyNumberFormat="1" applyFont="1" applyBorder="1"/>
    <xf numFmtId="14" fontId="8" fillId="0" borderId="32" xfId="0" applyNumberFormat="1" applyFont="1" applyBorder="1"/>
    <xf numFmtId="4" fontId="8" fillId="6" borderId="20" xfId="0" applyNumberFormat="1" applyFont="1" applyFill="1" applyBorder="1" applyProtection="1">
      <protection locked="0"/>
    </xf>
    <xf numFmtId="0" fontId="8" fillId="6" borderId="20" xfId="0" applyFont="1" applyFill="1" applyBorder="1" applyProtection="1">
      <protection locked="0"/>
    </xf>
    <xf numFmtId="10" fontId="8" fillId="0" borderId="33" xfId="0" applyNumberFormat="1" applyFont="1" applyBorder="1"/>
    <xf numFmtId="10" fontId="8" fillId="2" borderId="20" xfId="0" applyNumberFormat="1" applyFont="1" applyFill="1" applyBorder="1"/>
    <xf numFmtId="14" fontId="27" fillId="0" borderId="1" xfId="0" applyNumberFormat="1" applyFont="1" applyBorder="1" applyAlignment="1">
      <alignment horizontal="center" vertical="center" wrapText="1"/>
    </xf>
    <xf numFmtId="0" fontId="27" fillId="0" borderId="1" xfId="0" applyFont="1" applyBorder="1" applyAlignment="1">
      <alignment horizontal="center" vertical="center" wrapText="1"/>
    </xf>
    <xf numFmtId="4" fontId="8" fillId="0" borderId="1" xfId="0" applyNumberFormat="1" applyFont="1" applyBorder="1" applyAlignment="1">
      <alignment horizontal="right" vertical="center" wrapText="1"/>
    </xf>
    <xf numFmtId="4" fontId="8" fillId="0" borderId="1" xfId="0" applyNumberFormat="1" applyFont="1" applyBorder="1" applyAlignment="1">
      <alignment horizontal="right" vertical="top" wrapText="1"/>
    </xf>
    <xf numFmtId="0" fontId="1" fillId="0" borderId="1" xfId="0" applyFont="1" applyBorder="1"/>
    <xf numFmtId="4" fontId="8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Border="1" applyAlignment="1">
      <alignment horizontal="center" vertical="center" wrapText="1"/>
    </xf>
    <xf numFmtId="0" fontId="9" fillId="2" borderId="1" xfId="0" applyFont="1" applyFill="1" applyBorder="1" applyAlignment="1" applyProtection="1">
      <alignment horizontal="center" vertical="center" wrapText="1"/>
      <protection locked="0"/>
    </xf>
    <xf numFmtId="0" fontId="19" fillId="2" borderId="1" xfId="0" applyFont="1" applyFill="1" applyBorder="1" applyAlignment="1">
      <alignment horizontal="center" vertical="center" wrapText="1"/>
    </xf>
    <xf numFmtId="0" fontId="19" fillId="2" borderId="20" xfId="0" applyFont="1" applyFill="1" applyBorder="1" applyAlignment="1">
      <alignment horizontal="center" vertical="center" wrapText="1"/>
    </xf>
    <xf numFmtId="0" fontId="14" fillId="2" borderId="0" xfId="0" applyFont="1" applyFill="1" applyAlignment="1">
      <alignment horizontal="justify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19" fillId="2" borderId="2" xfId="0" applyFont="1" applyFill="1" applyBorder="1" applyAlignment="1">
      <alignment horizontal="center" vertical="center" wrapText="1"/>
    </xf>
    <xf numFmtId="0" fontId="19" fillId="2" borderId="22" xfId="0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justify" vertical="center" wrapText="1"/>
    </xf>
    <xf numFmtId="0" fontId="9" fillId="2" borderId="1" xfId="0" applyFont="1" applyFill="1" applyBorder="1" applyAlignment="1">
      <alignment horizontal="left" vertical="center" wrapText="1"/>
    </xf>
    <xf numFmtId="0" fontId="16" fillId="2" borderId="1" xfId="4" applyFill="1" applyBorder="1" applyAlignment="1">
      <alignment horizontal="center" vertical="center" wrapText="1"/>
    </xf>
    <xf numFmtId="4" fontId="8" fillId="2" borderId="1" xfId="0" applyNumberFormat="1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9" fillId="2" borderId="22" xfId="0" applyFont="1" applyFill="1" applyBorder="1" applyAlignment="1">
      <alignment horizontal="center" vertical="center" wrapText="1"/>
    </xf>
    <xf numFmtId="9" fontId="9" fillId="2" borderId="1" xfId="0" applyNumberFormat="1" applyFont="1" applyFill="1" applyBorder="1" applyAlignment="1">
      <alignment horizontal="center" vertical="center" wrapText="1"/>
    </xf>
    <xf numFmtId="10" fontId="8" fillId="2" borderId="1" xfId="0" applyNumberFormat="1" applyFont="1" applyFill="1" applyBorder="1" applyAlignment="1">
      <alignment horizontal="center" vertical="center" wrapText="1"/>
    </xf>
    <xf numFmtId="10" fontId="9" fillId="2" borderId="1" xfId="0" applyNumberFormat="1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19" fillId="2" borderId="9" xfId="0" applyFont="1" applyFill="1" applyBorder="1" applyAlignment="1">
      <alignment horizontal="center" vertical="center" wrapText="1"/>
    </xf>
    <xf numFmtId="0" fontId="19" fillId="2" borderId="6" xfId="0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center"/>
    </xf>
    <xf numFmtId="0" fontId="9" fillId="2" borderId="17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9" fillId="2" borderId="20" xfId="0" applyFont="1" applyFill="1" applyBorder="1" applyAlignment="1">
      <alignment horizontal="left" vertical="center" wrapText="1"/>
    </xf>
    <xf numFmtId="165" fontId="8" fillId="2" borderId="1" xfId="0" applyNumberFormat="1" applyFont="1" applyFill="1" applyBorder="1" applyAlignment="1">
      <alignment horizontal="center" vertical="center" wrapText="1"/>
    </xf>
    <xf numFmtId="0" fontId="1" fillId="0" borderId="3" xfId="0" applyFont="1" applyBorder="1" applyAlignment="1" applyProtection="1">
      <alignment horizontal="center" wrapText="1"/>
      <protection hidden="1"/>
    </xf>
    <xf numFmtId="0" fontId="1" fillId="0" borderId="15" xfId="0" applyFont="1" applyBorder="1" applyAlignment="1" applyProtection="1">
      <alignment horizontal="center" wrapText="1"/>
      <protection hidden="1"/>
    </xf>
    <xf numFmtId="0" fontId="1" fillId="0" borderId="7" xfId="0" applyFont="1" applyBorder="1" applyAlignment="1" applyProtection="1">
      <alignment horizontal="center" wrapText="1"/>
      <protection hidden="1"/>
    </xf>
    <xf numFmtId="0" fontId="1" fillId="0" borderId="5" xfId="0" applyFont="1" applyBorder="1" applyAlignment="1" applyProtection="1">
      <alignment horizontal="center" wrapText="1"/>
      <protection hidden="1"/>
    </xf>
    <xf numFmtId="4" fontId="1" fillId="5" borderId="15" xfId="0" applyNumberFormat="1" applyFont="1" applyFill="1" applyBorder="1" applyAlignment="1" applyProtection="1">
      <alignment horizontal="center"/>
      <protection locked="0" hidden="1"/>
    </xf>
    <xf numFmtId="4" fontId="1" fillId="5" borderId="5" xfId="0" applyNumberFormat="1" applyFont="1" applyFill="1" applyBorder="1" applyAlignment="1" applyProtection="1">
      <alignment horizontal="center"/>
      <protection locked="0" hidden="1"/>
    </xf>
    <xf numFmtId="0" fontId="0" fillId="2" borderId="1" xfId="0" applyFill="1" applyBorder="1" applyAlignment="1" applyProtection="1">
      <alignment horizontal="left"/>
      <protection hidden="1"/>
    </xf>
    <xf numFmtId="4" fontId="0" fillId="0" borderId="1" xfId="0" applyNumberFormat="1" applyBorder="1" applyAlignment="1" applyProtection="1">
      <alignment horizontal="center"/>
      <protection locked="0" hidden="1"/>
    </xf>
    <xf numFmtId="10" fontId="0" fillId="0" borderId="1" xfId="0" applyNumberFormat="1" applyBorder="1" applyAlignment="1" applyProtection="1">
      <alignment horizontal="center"/>
      <protection locked="0" hidden="1"/>
    </xf>
    <xf numFmtId="0" fontId="17" fillId="2" borderId="0" xfId="0" applyFont="1" applyFill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right"/>
      <protection hidden="1"/>
    </xf>
    <xf numFmtId="14" fontId="0" fillId="2" borderId="5" xfId="0" applyNumberFormat="1" applyFill="1" applyBorder="1" applyAlignment="1" applyProtection="1">
      <alignment horizontal="center"/>
      <protection locked="0" hidden="1"/>
    </xf>
    <xf numFmtId="0" fontId="11" fillId="2" borderId="1" xfId="0" applyFont="1" applyFill="1" applyBorder="1" applyAlignment="1" applyProtection="1">
      <alignment horizontal="left"/>
      <protection hidden="1"/>
    </xf>
    <xf numFmtId="0" fontId="1" fillId="0" borderId="3" xfId="0" applyFont="1" applyBorder="1" applyAlignment="1" applyProtection="1">
      <alignment horizontal="center"/>
      <protection hidden="1"/>
    </xf>
    <xf numFmtId="0" fontId="1" fillId="0" borderId="15" xfId="0" applyFont="1" applyBorder="1" applyAlignment="1" applyProtection="1">
      <alignment horizontal="center"/>
      <protection hidden="1"/>
    </xf>
    <xf numFmtId="0" fontId="1" fillId="0" borderId="7" xfId="0" applyFont="1" applyBorder="1" applyAlignment="1" applyProtection="1">
      <alignment horizontal="center"/>
      <protection hidden="1"/>
    </xf>
    <xf numFmtId="0" fontId="1" fillId="0" borderId="5" xfId="0" applyFont="1" applyBorder="1" applyAlignment="1" applyProtection="1">
      <alignment horizontal="center"/>
      <protection hidden="1"/>
    </xf>
    <xf numFmtId="0" fontId="6" fillId="0" borderId="4" xfId="0" applyFont="1" applyBorder="1" applyAlignment="1" applyProtection="1">
      <alignment horizontal="center" vertical="center" wrapText="1"/>
      <protection hidden="1"/>
    </xf>
    <xf numFmtId="0" fontId="6" fillId="0" borderId="10" xfId="0" applyFont="1" applyBorder="1" applyAlignment="1" applyProtection="1">
      <alignment horizontal="center" vertical="center" wrapText="1"/>
      <protection hidden="1"/>
    </xf>
    <xf numFmtId="0" fontId="1" fillId="0" borderId="1" xfId="0" applyFont="1" applyBorder="1" applyAlignment="1" applyProtection="1">
      <alignment horizontal="left" wrapText="1"/>
      <protection hidden="1"/>
    </xf>
    <xf numFmtId="0" fontId="0" fillId="0" borderId="2" xfId="0" applyBorder="1" applyAlignment="1" applyProtection="1">
      <alignment horizontal="left"/>
      <protection hidden="1"/>
    </xf>
    <xf numFmtId="0" fontId="0" fillId="0" borderId="9" xfId="0" applyBorder="1" applyAlignment="1" applyProtection="1">
      <alignment horizontal="left"/>
      <protection hidden="1"/>
    </xf>
    <xf numFmtId="4" fontId="0" fillId="0" borderId="2" xfId="0" applyNumberFormat="1" applyBorder="1" applyAlignment="1" applyProtection="1">
      <alignment horizontal="center"/>
      <protection locked="0" hidden="1"/>
    </xf>
    <xf numFmtId="4" fontId="0" fillId="0" borderId="6" xfId="0" applyNumberFormat="1" applyBorder="1" applyAlignment="1" applyProtection="1">
      <alignment horizontal="center"/>
      <protection locked="0" hidden="1"/>
    </xf>
    <xf numFmtId="0" fontId="1" fillId="0" borderId="1" xfId="0" applyFont="1" applyBorder="1" applyAlignment="1" applyProtection="1">
      <alignment horizontal="right"/>
      <protection hidden="1"/>
    </xf>
    <xf numFmtId="0" fontId="1" fillId="0" borderId="2" xfId="0" applyFont="1" applyBorder="1" applyAlignment="1" applyProtection="1">
      <alignment horizontal="right"/>
      <protection hidden="1"/>
    </xf>
    <xf numFmtId="1" fontId="1" fillId="5" borderId="9" xfId="0" applyNumberFormat="1" applyFont="1" applyFill="1" applyBorder="1" applyAlignment="1" applyProtection="1">
      <alignment horizontal="center"/>
      <protection locked="0" hidden="1"/>
    </xf>
    <xf numFmtId="10" fontId="0" fillId="0" borderId="9" xfId="0" applyNumberFormat="1" applyBorder="1" applyAlignment="1" applyProtection="1">
      <alignment horizontal="center"/>
      <protection locked="0" hidden="1"/>
    </xf>
    <xf numFmtId="14" fontId="0" fillId="2" borderId="5" xfId="0" applyNumberFormat="1" applyFill="1" applyBorder="1" applyAlignment="1" applyProtection="1">
      <alignment horizontal="center"/>
      <protection hidden="1"/>
    </xf>
    <xf numFmtId="0" fontId="6" fillId="3" borderId="4" xfId="0" applyFont="1" applyFill="1" applyBorder="1" applyAlignment="1" applyProtection="1">
      <alignment horizontal="center" vertical="center" wrapText="1"/>
      <protection hidden="1"/>
    </xf>
    <xf numFmtId="0" fontId="6" fillId="3" borderId="8" xfId="0" applyFont="1" applyFill="1" applyBorder="1" applyAlignment="1" applyProtection="1">
      <alignment horizontal="center" vertical="center" wrapText="1"/>
      <protection hidden="1"/>
    </xf>
    <xf numFmtId="4" fontId="0" fillId="4" borderId="2" xfId="0" applyNumberFormat="1" applyFill="1" applyBorder="1" applyAlignment="1" applyProtection="1">
      <alignment horizontal="center"/>
      <protection locked="0" hidden="1"/>
    </xf>
    <xf numFmtId="4" fontId="0" fillId="4" borderId="6" xfId="0" applyNumberFormat="1" applyFill="1" applyBorder="1" applyAlignment="1" applyProtection="1">
      <alignment horizontal="center"/>
      <protection locked="0" hidden="1"/>
    </xf>
    <xf numFmtId="4" fontId="0" fillId="4" borderId="1" xfId="0" applyNumberFormat="1" applyFill="1" applyBorder="1" applyAlignment="1" applyProtection="1">
      <alignment horizontal="center"/>
      <protection locked="0" hidden="1"/>
    </xf>
    <xf numFmtId="0" fontId="6" fillId="4" borderId="4" xfId="0" applyFont="1" applyFill="1" applyBorder="1" applyAlignment="1" applyProtection="1">
      <alignment horizontal="center" vertical="center" wrapText="1"/>
      <protection hidden="1"/>
    </xf>
    <xf numFmtId="0" fontId="6" fillId="4" borderId="8" xfId="0" applyFont="1" applyFill="1" applyBorder="1" applyAlignment="1" applyProtection="1">
      <alignment horizontal="center" vertical="center" wrapText="1"/>
      <protection hidden="1"/>
    </xf>
    <xf numFmtId="0" fontId="6" fillId="4" borderId="2" xfId="0" applyFont="1" applyFill="1" applyBorder="1" applyAlignment="1" applyProtection="1">
      <alignment horizontal="center" vertical="center" wrapText="1"/>
      <protection hidden="1"/>
    </xf>
    <xf numFmtId="0" fontId="6" fillId="4" borderId="9" xfId="0" applyFont="1" applyFill="1" applyBorder="1" applyAlignment="1" applyProtection="1">
      <alignment horizontal="center" vertical="center" wrapText="1"/>
      <protection hidden="1"/>
    </xf>
    <xf numFmtId="0" fontId="6" fillId="4" borderId="6" xfId="0" applyFont="1" applyFill="1" applyBorder="1" applyAlignment="1" applyProtection="1">
      <alignment horizontal="center" vertical="center" wrapText="1"/>
      <protection hidden="1"/>
    </xf>
    <xf numFmtId="14" fontId="7" fillId="2" borderId="0" xfId="0" applyNumberFormat="1" applyFont="1" applyFill="1" applyAlignment="1" applyProtection="1">
      <alignment horizontal="right"/>
      <protection hidden="1"/>
    </xf>
    <xf numFmtId="0" fontId="9" fillId="0" borderId="3" xfId="0" applyFont="1" applyBorder="1" applyAlignment="1">
      <alignment horizontal="left" vertical="center" wrapText="1"/>
    </xf>
    <xf numFmtId="0" fontId="0" fillId="0" borderId="15" xfId="0" applyBorder="1" applyAlignment="1">
      <alignment horizontal="left"/>
    </xf>
    <xf numFmtId="0" fontId="0" fillId="0" borderId="28" xfId="0" applyBorder="1" applyAlignment="1">
      <alignment horizontal="left"/>
    </xf>
    <xf numFmtId="0" fontId="0" fillId="0" borderId="29" xfId="0" applyBorder="1" applyAlignment="1">
      <alignment horizontal="left"/>
    </xf>
    <xf numFmtId="0" fontId="0" fillId="0" borderId="0" xfId="0" applyAlignment="1">
      <alignment horizontal="left"/>
    </xf>
    <xf numFmtId="0" fontId="0" fillId="0" borderId="30" xfId="0" applyBorder="1" applyAlignment="1">
      <alignment horizontal="left"/>
    </xf>
    <xf numFmtId="0" fontId="0" fillId="0" borderId="7" xfId="0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31" xfId="0" applyBorder="1" applyAlignment="1">
      <alignment horizontal="left"/>
    </xf>
    <xf numFmtId="0" fontId="25" fillId="0" borderId="0" xfId="0" applyFont="1" applyAlignment="1" applyProtection="1">
      <alignment horizontal="center" vertical="center"/>
      <protection hidden="1"/>
    </xf>
    <xf numFmtId="0" fontId="13" fillId="0" borderId="0" xfId="0" applyFont="1"/>
    <xf numFmtId="0" fontId="1" fillId="0" borderId="0" xfId="0" applyFont="1"/>
    <xf numFmtId="0" fontId="27" fillId="0" borderId="0" xfId="0" applyFont="1" applyAlignment="1" applyProtection="1">
      <alignment horizontal="center" vertical="center" wrapText="1"/>
      <protection hidden="1"/>
    </xf>
    <xf numFmtId="0" fontId="19" fillId="0" borderId="0" xfId="0" applyFont="1" applyBorder="1" applyAlignment="1" applyProtection="1">
      <alignment horizontal="right"/>
      <protection hidden="1"/>
    </xf>
    <xf numFmtId="0" fontId="27" fillId="0" borderId="0" xfId="0" applyFont="1" applyBorder="1" applyAlignment="1" applyProtection="1">
      <alignment horizontal="right"/>
      <protection hidden="1"/>
    </xf>
    <xf numFmtId="0" fontId="9" fillId="0" borderId="1" xfId="0" applyFont="1" applyBorder="1" applyAlignment="1">
      <alignment horizontal="center" vertical="center" wrapText="1"/>
    </xf>
    <xf numFmtId="0" fontId="8" fillId="0" borderId="25" xfId="0" applyFont="1" applyBorder="1" applyAlignment="1" applyProtection="1">
      <alignment horizontal="right"/>
      <protection hidden="1"/>
    </xf>
    <xf numFmtId="0" fontId="8" fillId="0" borderId="26" xfId="0" applyFont="1" applyBorder="1" applyAlignment="1" applyProtection="1">
      <alignment horizontal="right"/>
      <protection hidden="1"/>
    </xf>
    <xf numFmtId="0" fontId="8" fillId="0" borderId="23" xfId="0" applyFont="1" applyBorder="1" applyAlignment="1" applyProtection="1">
      <alignment horizontal="right"/>
      <protection hidden="1"/>
    </xf>
    <xf numFmtId="0" fontId="8" fillId="0" borderId="24" xfId="0" applyFont="1" applyBorder="1" applyAlignment="1" applyProtection="1">
      <alignment horizontal="right"/>
      <protection hidden="1"/>
    </xf>
    <xf numFmtId="0" fontId="8" fillId="0" borderId="21" xfId="0" applyFont="1" applyBorder="1" applyAlignment="1" applyProtection="1">
      <alignment horizontal="right"/>
      <protection hidden="1"/>
    </xf>
    <xf numFmtId="0" fontId="8" fillId="0" borderId="1" xfId="0" applyFont="1" applyBorder="1" applyAlignment="1" applyProtection="1">
      <alignment horizontal="right"/>
      <protection hidden="1"/>
    </xf>
    <xf numFmtId="0" fontId="8" fillId="0" borderId="21" xfId="0" applyFont="1" applyBorder="1" applyAlignment="1" applyProtection="1">
      <alignment horizontal="right" wrapText="1"/>
      <protection hidden="1"/>
    </xf>
    <xf numFmtId="0" fontId="8" fillId="0" borderId="1" xfId="0" applyFont="1" applyBorder="1" applyAlignment="1" applyProtection="1">
      <alignment horizontal="right" wrapText="1"/>
      <protection hidden="1"/>
    </xf>
    <xf numFmtId="0" fontId="8" fillId="0" borderId="27" xfId="0" applyFont="1" applyBorder="1" applyAlignment="1" applyProtection="1">
      <alignment horizontal="right"/>
      <protection hidden="1"/>
    </xf>
    <xf numFmtId="0" fontId="8" fillId="0" borderId="6" xfId="0" applyFont="1" applyBorder="1" applyAlignment="1" applyProtection="1">
      <alignment horizontal="right"/>
      <protection hidden="1"/>
    </xf>
    <xf numFmtId="0" fontId="28" fillId="0" borderId="0" xfId="0" applyFont="1" applyBorder="1" applyAlignment="1" applyProtection="1">
      <alignment horizontal="right"/>
      <protection hidden="1"/>
    </xf>
    <xf numFmtId="0" fontId="28" fillId="0" borderId="27" xfId="0" applyFont="1" applyBorder="1" applyAlignment="1" applyProtection="1">
      <alignment horizontal="right"/>
      <protection hidden="1"/>
    </xf>
    <xf numFmtId="0" fontId="28" fillId="0" borderId="9" xfId="0" applyFont="1" applyBorder="1" applyAlignment="1" applyProtection="1">
      <alignment horizontal="right"/>
      <protection hidden="1"/>
    </xf>
    <xf numFmtId="0" fontId="28" fillId="0" borderId="6" xfId="0" applyFont="1" applyBorder="1" applyAlignment="1" applyProtection="1">
      <alignment horizontal="right"/>
      <protection hidden="1"/>
    </xf>
    <xf numFmtId="0" fontId="28" fillId="0" borderId="23" xfId="0" applyFont="1" applyBorder="1" applyAlignment="1" applyProtection="1">
      <alignment horizontal="right"/>
      <protection hidden="1"/>
    </xf>
    <xf numFmtId="0" fontId="28" fillId="0" borderId="24" xfId="0" applyFont="1" applyBorder="1" applyAlignment="1" applyProtection="1">
      <alignment horizontal="right"/>
      <protection hidden="1"/>
    </xf>
    <xf numFmtId="0" fontId="28" fillId="0" borderId="21" xfId="0" applyFont="1" applyBorder="1" applyAlignment="1" applyProtection="1">
      <alignment horizontal="right"/>
      <protection hidden="1"/>
    </xf>
    <xf numFmtId="0" fontId="28" fillId="0" borderId="1" xfId="0" applyFont="1" applyBorder="1" applyAlignment="1" applyProtection="1">
      <alignment horizontal="right"/>
      <protection hidden="1"/>
    </xf>
  </cellXfs>
  <cellStyles count="5">
    <cellStyle name="Гиперссылка" xfId="4" builtinId="8"/>
    <cellStyle name="Обычный" xfId="0" builtinId="0"/>
    <cellStyle name="Обычный 2" xfId="1" xr:uid="{00000000-0005-0000-0000-000002000000}"/>
    <cellStyle name="Процентный 2" xfId="2" xr:uid="{00000000-0005-0000-0000-000003000000}"/>
    <cellStyle name="Финансовый 2" xfId="3" xr:uid="{00000000-0005-0000-0000-000004000000}"/>
  </cellStyles>
  <dxfs count="0"/>
  <tableStyles count="0" defaultTableStyle="TableStyleMedium2" defaultPivotStyle="PivotStyleLight16"/>
  <colors>
    <mruColors>
      <color rgb="FF42F62A"/>
      <color rgb="FFF68E38"/>
      <color rgb="FFF5801F"/>
      <color rgb="FFF8A76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9525</xdr:rowOff>
    </xdr:from>
    <xdr:to>
      <xdr:col>0</xdr:col>
      <xdr:colOff>2124075</xdr:colOff>
      <xdr:row>1</xdr:row>
      <xdr:rowOff>285750</xdr:rowOff>
    </xdr:to>
    <xdr:sp macro="" textlink="">
      <xdr:nvSpPr>
        <xdr:cNvPr id="3" name="object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0" y="9525"/>
          <a:ext cx="2124075" cy="466725"/>
        </a:xfrm>
        <a:prstGeom prst="rect">
          <a:avLst/>
        </a:prstGeom>
        <a:blipFill>
          <a:blip xmlns:r="http://schemas.openxmlformats.org/officeDocument/2006/relationships" r:embed="rId1" cstate="print"/>
          <a:stretch>
            <a:fillRect/>
          </a:stretch>
        </a:blipFill>
      </xdr:spPr>
      <xdr:txBody>
        <a:bodyPr wrap="square" lIns="0" tIns="0" rIns="0" bIns="0" rtlCol="0"/>
        <a:lstStyle>
          <a:defPPr>
            <a:defRPr lang="uk-UA"/>
          </a:defPPr>
          <a:lvl1pPr marL="0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1pPr>
          <a:lvl2pPr marL="45708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2pPr>
          <a:lvl3pPr marL="914177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3pPr>
          <a:lvl4pPr marL="1371265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4pPr>
          <a:lvl5pPr marL="1828354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5pPr>
          <a:lvl6pPr marL="2285442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6pPr>
          <a:lvl7pPr marL="2742531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7pPr>
          <a:lvl8pPr marL="3199619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8pPr>
          <a:lvl9pPr marL="3656708" algn="l" defTabSz="914177" rtl="0" eaLnBrk="1" latinLnBrk="0" hangingPunct="1">
            <a:defRPr sz="1800" kern="1200">
              <a:solidFill>
                <a:schemeClr val="tx1"/>
              </a:solidFill>
              <a:latin typeface="+mn-lt"/>
              <a:ea typeface="+mn-ea"/>
              <a:cs typeface="+mn-cs"/>
            </a:defRPr>
          </a:lvl9pPr>
        </a:lstStyle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www.bisbank.com.ua/" TargetMode="External"/><Relationship Id="rId1" Type="http://schemas.openxmlformats.org/officeDocument/2006/relationships/hyperlink" Target="mailto:info@bisbank.com.ua" TargetMode="External"/><Relationship Id="rId4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S76"/>
  <sheetViews>
    <sheetView topLeftCell="A19" workbookViewId="0">
      <selection activeCell="A50" sqref="A50"/>
    </sheetView>
  </sheetViews>
  <sheetFormatPr defaultRowHeight="15" x14ac:dyDescent="0.25"/>
  <cols>
    <col min="1" max="1" width="45.5703125" customWidth="1"/>
    <col min="2" max="2" width="6.5703125" customWidth="1"/>
    <col min="3" max="3" width="60.85546875" customWidth="1"/>
    <col min="4" max="4" width="10.140625" bestFit="1" customWidth="1"/>
  </cols>
  <sheetData>
    <row r="1" spans="1:19" x14ac:dyDescent="0.25">
      <c r="A1" s="3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</row>
    <row r="2" spans="1:19" ht="29.25" customHeight="1" x14ac:dyDescent="0.25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spans="1:19" x14ac:dyDescent="0.25">
      <c r="A3" s="154" t="s">
        <v>150</v>
      </c>
      <c r="B3" s="154"/>
      <c r="C3" s="154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</row>
    <row r="4" spans="1:19" x14ac:dyDescent="0.25">
      <c r="A4" s="155" t="s">
        <v>109</v>
      </c>
      <c r="B4" s="156"/>
      <c r="C4" s="156"/>
      <c r="D4" s="3"/>
      <c r="E4" s="3"/>
      <c r="F4" s="3"/>
      <c r="G4" s="3"/>
      <c r="H4" s="3"/>
      <c r="I4" s="3"/>
      <c r="J4" s="3"/>
      <c r="K4" s="3"/>
      <c r="L4" s="3"/>
      <c r="M4" s="3"/>
      <c r="N4" s="3"/>
      <c r="O4" s="3"/>
      <c r="P4" s="3"/>
      <c r="Q4" s="3"/>
      <c r="R4" s="3"/>
      <c r="S4" s="3"/>
    </row>
    <row r="5" spans="1:19" ht="15" customHeight="1" x14ac:dyDescent="0.25">
      <c r="A5" s="142" t="s">
        <v>0</v>
      </c>
      <c r="B5" s="133" t="s">
        <v>99</v>
      </c>
      <c r="C5" s="13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</row>
    <row r="6" spans="1:19" x14ac:dyDescent="0.25">
      <c r="A6" s="142"/>
      <c r="B6" s="133"/>
      <c r="C6" s="133"/>
      <c r="D6" s="3"/>
      <c r="E6" s="3"/>
      <c r="F6" s="3"/>
      <c r="G6" s="3"/>
      <c r="H6" s="3"/>
      <c r="I6" s="3"/>
      <c r="J6" s="3"/>
      <c r="K6" s="3"/>
      <c r="L6" s="3"/>
      <c r="M6" s="3"/>
      <c r="N6" s="3"/>
      <c r="O6" s="3"/>
      <c r="P6" s="3"/>
      <c r="Q6" s="3"/>
      <c r="R6" s="3"/>
      <c r="S6" s="3"/>
    </row>
    <row r="7" spans="1:19" x14ac:dyDescent="0.25">
      <c r="A7" s="142"/>
      <c r="B7" s="133"/>
      <c r="C7" s="133"/>
      <c r="D7" s="3"/>
      <c r="E7" s="18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</row>
    <row r="8" spans="1:19" ht="15" customHeight="1" x14ac:dyDescent="0.25">
      <c r="A8" s="142" t="s">
        <v>1</v>
      </c>
      <c r="B8" s="133" t="s">
        <v>100</v>
      </c>
      <c r="C8" s="13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</row>
    <row r="9" spans="1:19" ht="15" customHeight="1" x14ac:dyDescent="0.25">
      <c r="A9" s="142"/>
      <c r="B9" s="133"/>
      <c r="C9" s="133"/>
      <c r="D9" s="3"/>
      <c r="E9" s="3"/>
      <c r="F9" s="3"/>
      <c r="G9" s="3"/>
      <c r="H9" s="3"/>
      <c r="I9" s="3"/>
      <c r="J9" s="3"/>
      <c r="K9" s="3"/>
      <c r="L9" s="3"/>
      <c r="M9" s="3"/>
      <c r="N9" s="3"/>
      <c r="O9" s="3"/>
      <c r="P9" s="3"/>
      <c r="Q9" s="3"/>
      <c r="R9" s="3"/>
      <c r="S9" s="3"/>
    </row>
    <row r="10" spans="1:19" x14ac:dyDescent="0.25">
      <c r="A10" s="142"/>
      <c r="B10" s="133"/>
      <c r="C10" s="133"/>
      <c r="D10" s="3"/>
      <c r="E10" s="3"/>
      <c r="F10" s="3"/>
      <c r="G10" s="3"/>
      <c r="H10" s="3"/>
      <c r="I10" s="3"/>
      <c r="J10" s="3"/>
      <c r="K10" s="3"/>
      <c r="L10" s="3"/>
      <c r="M10" s="3"/>
      <c r="N10" s="3"/>
      <c r="O10" s="3"/>
      <c r="P10" s="3"/>
      <c r="Q10" s="3"/>
      <c r="R10" s="3"/>
      <c r="S10" s="3"/>
    </row>
    <row r="11" spans="1:19" x14ac:dyDescent="0.25">
      <c r="A11" s="75" t="s">
        <v>2</v>
      </c>
      <c r="B11" s="137" t="s">
        <v>101</v>
      </c>
      <c r="C11" s="137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  <c r="O11" s="3"/>
      <c r="P11" s="3"/>
      <c r="Q11" s="3"/>
      <c r="R11" s="3"/>
      <c r="S11" s="3"/>
    </row>
    <row r="12" spans="1:19" x14ac:dyDescent="0.25">
      <c r="A12" s="75" t="s">
        <v>3</v>
      </c>
      <c r="B12" s="137" t="s">
        <v>102</v>
      </c>
      <c r="C12" s="137"/>
      <c r="D12" s="3"/>
      <c r="E12" s="3"/>
      <c r="F12" s="3"/>
      <c r="G12" s="3"/>
      <c r="H12" s="3"/>
      <c r="I12" s="3"/>
      <c r="J12" s="3"/>
      <c r="K12" s="3"/>
      <c r="L12" s="3"/>
      <c r="M12" s="3"/>
      <c r="N12" s="3"/>
      <c r="O12" s="3"/>
      <c r="P12" s="3"/>
      <c r="Q12" s="3"/>
      <c r="R12" s="3"/>
      <c r="S12" s="3"/>
    </row>
    <row r="13" spans="1:19" x14ac:dyDescent="0.25">
      <c r="A13" s="75" t="s">
        <v>4</v>
      </c>
      <c r="B13" s="144" t="s">
        <v>103</v>
      </c>
      <c r="C13" s="137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  <c r="O13" s="3"/>
      <c r="P13" s="3"/>
      <c r="Q13" s="3"/>
      <c r="R13" s="3"/>
      <c r="S13" s="3"/>
    </row>
    <row r="14" spans="1:19" x14ac:dyDescent="0.25">
      <c r="A14" s="75" t="s">
        <v>5</v>
      </c>
      <c r="B14" s="144" t="s">
        <v>104</v>
      </c>
      <c r="C14" s="137"/>
      <c r="D14" s="3"/>
      <c r="E14" s="3"/>
      <c r="F14" s="3"/>
      <c r="G14" s="3"/>
      <c r="H14" s="3"/>
      <c r="I14" s="3"/>
      <c r="J14" s="3"/>
      <c r="K14" s="3"/>
      <c r="L14" s="3"/>
      <c r="M14" s="3"/>
      <c r="N14" s="3"/>
      <c r="O14" s="3"/>
      <c r="P14" s="3"/>
      <c r="Q14" s="3"/>
      <c r="R14" s="3"/>
      <c r="S14" s="3"/>
    </row>
    <row r="15" spans="1:19" ht="15.75" customHeight="1" x14ac:dyDescent="0.25">
      <c r="A15" s="139" t="s">
        <v>110</v>
      </c>
      <c r="B15" s="139"/>
      <c r="C15" s="139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  <c r="O15" s="3"/>
      <c r="P15" s="3"/>
      <c r="Q15" s="3"/>
      <c r="R15" s="3"/>
      <c r="S15" s="3"/>
    </row>
    <row r="16" spans="1:19" ht="15.75" customHeight="1" x14ac:dyDescent="0.25">
      <c r="A16" s="76" t="s">
        <v>67</v>
      </c>
      <c r="B16" s="134" t="s">
        <v>50</v>
      </c>
      <c r="C16" s="135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  <c r="O16" s="3"/>
      <c r="P16" s="3"/>
      <c r="Q16" s="3"/>
      <c r="R16" s="3"/>
      <c r="S16" s="3"/>
    </row>
    <row r="17" spans="1:19" ht="15.75" customHeight="1" x14ac:dyDescent="0.25">
      <c r="A17" s="76" t="s">
        <v>68</v>
      </c>
      <c r="B17" s="134" t="s">
        <v>50</v>
      </c>
      <c r="C17" s="135"/>
      <c r="D17" s="3"/>
      <c r="E17" s="3"/>
      <c r="F17" s="3"/>
      <c r="G17" s="3"/>
      <c r="H17" s="3"/>
      <c r="I17" s="3"/>
      <c r="J17" s="3"/>
      <c r="K17" s="3"/>
      <c r="L17" s="3"/>
      <c r="M17" s="3"/>
      <c r="N17" s="3"/>
      <c r="O17" s="3"/>
      <c r="P17" s="3"/>
      <c r="Q17" s="3"/>
      <c r="R17" s="3"/>
      <c r="S17" s="3"/>
    </row>
    <row r="18" spans="1:19" ht="15.75" customHeight="1" x14ac:dyDescent="0.25">
      <c r="A18" s="76" t="s">
        <v>3</v>
      </c>
      <c r="B18" s="134" t="s">
        <v>50</v>
      </c>
      <c r="C18" s="135"/>
      <c r="D18" s="3"/>
      <c r="E18" s="3"/>
      <c r="F18" s="3"/>
      <c r="G18" s="3"/>
      <c r="H18" s="3"/>
      <c r="I18" s="3"/>
      <c r="J18" s="3"/>
      <c r="K18" s="3"/>
      <c r="L18" s="3"/>
      <c r="M18" s="3"/>
      <c r="N18" s="3"/>
      <c r="O18" s="3"/>
      <c r="P18" s="3"/>
      <c r="Q18" s="3"/>
      <c r="R18" s="3"/>
      <c r="S18" s="3"/>
    </row>
    <row r="19" spans="1:19" ht="15.75" customHeight="1" x14ac:dyDescent="0.25">
      <c r="A19" s="76" t="s">
        <v>4</v>
      </c>
      <c r="B19" s="134" t="s">
        <v>50</v>
      </c>
      <c r="C19" s="135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</row>
    <row r="20" spans="1:19" ht="15.75" customHeight="1" x14ac:dyDescent="0.25">
      <c r="A20" s="76" t="s">
        <v>69</v>
      </c>
      <c r="B20" s="134" t="s">
        <v>50</v>
      </c>
      <c r="C20" s="135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</row>
    <row r="21" spans="1:19" ht="15.75" customHeight="1" x14ac:dyDescent="0.25">
      <c r="A21" s="139" t="s">
        <v>6</v>
      </c>
      <c r="B21" s="139"/>
      <c r="C21" s="139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</row>
    <row r="22" spans="1:19" x14ac:dyDescent="0.25">
      <c r="A22" s="75" t="s">
        <v>7</v>
      </c>
      <c r="B22" s="137" t="s">
        <v>111</v>
      </c>
      <c r="C22" s="137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</row>
    <row r="23" spans="1:19" x14ac:dyDescent="0.25">
      <c r="A23" s="75" t="s">
        <v>8</v>
      </c>
      <c r="B23" s="145">
        <f>' '!D6</f>
        <v>500000</v>
      </c>
      <c r="C23" s="145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</row>
    <row r="24" spans="1:19" x14ac:dyDescent="0.25">
      <c r="A24" s="75" t="s">
        <v>70</v>
      </c>
      <c r="B24" s="137" t="str">
        <f>CONCATENATE(E24,D24)</f>
        <v>60 міс.</v>
      </c>
      <c r="C24" s="137"/>
      <c r="D24" s="8" t="s">
        <v>71</v>
      </c>
      <c r="E24" s="8">
        <f>' '!D8</f>
        <v>60</v>
      </c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</row>
    <row r="25" spans="1:19" x14ac:dyDescent="0.25">
      <c r="A25" s="143" t="s">
        <v>9</v>
      </c>
      <c r="B25" s="137" t="s">
        <v>112</v>
      </c>
      <c r="C25" s="137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</row>
    <row r="26" spans="1:19" x14ac:dyDescent="0.25">
      <c r="A26" s="143"/>
      <c r="B26" s="137"/>
      <c r="C26" s="137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</row>
    <row r="27" spans="1:19" ht="18.75" customHeight="1" x14ac:dyDescent="0.25">
      <c r="A27" s="79" t="s">
        <v>10</v>
      </c>
      <c r="B27" s="137" t="s">
        <v>113</v>
      </c>
      <c r="C27" s="138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  <c r="O27" s="3"/>
      <c r="P27" s="3"/>
      <c r="Q27" s="3"/>
      <c r="R27" s="3"/>
      <c r="S27" s="3"/>
    </row>
    <row r="28" spans="1:19" ht="23.25" customHeight="1" x14ac:dyDescent="0.25">
      <c r="A28" s="78" t="s">
        <v>11</v>
      </c>
      <c r="B28" s="146"/>
      <c r="C28" s="147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</row>
    <row r="29" spans="1:19" ht="30" customHeight="1" x14ac:dyDescent="0.25">
      <c r="A29" s="78" t="s">
        <v>12</v>
      </c>
      <c r="B29" s="137"/>
      <c r="C29" s="138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</row>
    <row r="30" spans="1:19" ht="20.25" customHeight="1" x14ac:dyDescent="0.25">
      <c r="A30" s="142" t="s">
        <v>13</v>
      </c>
      <c r="B30" s="148" t="s">
        <v>62</v>
      </c>
      <c r="C30" s="137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</row>
    <row r="31" spans="1:19" ht="26.25" customHeight="1" x14ac:dyDescent="0.25">
      <c r="A31" s="142"/>
      <c r="B31" s="137"/>
      <c r="C31" s="137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</row>
    <row r="32" spans="1:19" ht="36.75" customHeight="1" x14ac:dyDescent="0.25">
      <c r="A32" s="139" t="s">
        <v>95</v>
      </c>
      <c r="B32" s="139"/>
      <c r="C32" s="139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</row>
    <row r="33" spans="1:19" ht="19.5" customHeight="1" x14ac:dyDescent="0.25">
      <c r="A33" s="78" t="s">
        <v>119</v>
      </c>
      <c r="B33" s="149">
        <f>' '!D9</f>
        <v>0.29949999999999999</v>
      </c>
      <c r="C33" s="149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</row>
    <row r="34" spans="1:19" x14ac:dyDescent="0.25">
      <c r="A34" s="78" t="s">
        <v>14</v>
      </c>
      <c r="B34" s="137" t="s">
        <v>98</v>
      </c>
      <c r="C34" s="137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</row>
    <row r="35" spans="1:19" ht="26.25" hidden="1" customHeight="1" x14ac:dyDescent="0.25">
      <c r="A35" s="78" t="s">
        <v>15</v>
      </c>
      <c r="B35" s="137"/>
      <c r="C35" s="137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</row>
    <row r="36" spans="1:19" ht="30" x14ac:dyDescent="0.25">
      <c r="A36" s="78" t="s">
        <v>151</v>
      </c>
      <c r="B36" s="137" t="s">
        <v>16</v>
      </c>
      <c r="C36" s="137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</row>
    <row r="37" spans="1:19" x14ac:dyDescent="0.25">
      <c r="A37" s="78" t="s">
        <v>57</v>
      </c>
      <c r="B37" s="149">
        <f>' '!P3</f>
        <v>2.9499999999999998E-2</v>
      </c>
      <c r="C37" s="149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</row>
    <row r="38" spans="1:19" ht="30" x14ac:dyDescent="0.25">
      <c r="A38" s="78" t="s">
        <v>147</v>
      </c>
      <c r="B38" s="150">
        <f>' '!N5</f>
        <v>0</v>
      </c>
      <c r="C38" s="137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</row>
    <row r="39" spans="1:19" ht="34.5" customHeight="1" x14ac:dyDescent="0.25">
      <c r="A39" s="78" t="s">
        <v>148</v>
      </c>
      <c r="B39" s="145">
        <f>' '!P9</f>
        <v>0</v>
      </c>
      <c r="C39" s="139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</row>
    <row r="40" spans="1:19" hidden="1" x14ac:dyDescent="0.25">
      <c r="A40" s="78"/>
      <c r="B40" s="77"/>
      <c r="C40" s="80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</row>
    <row r="41" spans="1:19" ht="30.75" customHeight="1" x14ac:dyDescent="0.25">
      <c r="A41" s="140" t="s">
        <v>72</v>
      </c>
      <c r="B41" s="152"/>
      <c r="C41" s="15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</row>
    <row r="42" spans="1:19" ht="30" customHeight="1" x14ac:dyDescent="0.25">
      <c r="A42" s="81" t="s">
        <v>73</v>
      </c>
      <c r="B42" s="134" t="s">
        <v>50</v>
      </c>
      <c r="C42" s="135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</row>
    <row r="43" spans="1:19" x14ac:dyDescent="0.25">
      <c r="A43" s="78" t="s">
        <v>17</v>
      </c>
      <c r="B43" s="145">
        <f>B44-B23</f>
        <v>484430.72372228047</v>
      </c>
      <c r="C43" s="145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</row>
    <row r="44" spans="1:19" ht="60" x14ac:dyDescent="0.25">
      <c r="A44" s="78" t="s">
        <v>18</v>
      </c>
      <c r="B44" s="145">
        <f>SUM(' '!Q25:Q85)</f>
        <v>984430.72372228047</v>
      </c>
      <c r="C44" s="145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</row>
    <row r="45" spans="1:19" ht="30" x14ac:dyDescent="0.25">
      <c r="A45" s="78" t="s">
        <v>19</v>
      </c>
      <c r="B45" s="158">
        <f ca="1">SUM(' '!P24:P266)</f>
        <v>0.36705784201622005</v>
      </c>
      <c r="C45" s="158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</row>
    <row r="46" spans="1:19" ht="57.75" customHeight="1" x14ac:dyDescent="0.25">
      <c r="A46" s="143" t="s">
        <v>20</v>
      </c>
      <c r="B46" s="143"/>
      <c r="C46" s="14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</row>
    <row r="47" spans="1:19" ht="44.25" customHeight="1" x14ac:dyDescent="0.25">
      <c r="A47" s="143" t="s">
        <v>21</v>
      </c>
      <c r="B47" s="143"/>
      <c r="C47" s="14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</row>
    <row r="48" spans="1:19" ht="42" customHeight="1" x14ac:dyDescent="0.25">
      <c r="A48" s="143" t="s">
        <v>22</v>
      </c>
      <c r="B48" s="143"/>
      <c r="C48" s="14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</row>
    <row r="49" spans="1:19" ht="52.5" customHeight="1" x14ac:dyDescent="0.25">
      <c r="A49" s="78" t="s">
        <v>152</v>
      </c>
      <c r="B49" s="137" t="s">
        <v>16</v>
      </c>
      <c r="C49" s="137"/>
      <c r="D49" s="73"/>
      <c r="E49" s="73"/>
      <c r="F49" s="7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</row>
    <row r="50" spans="1:19" ht="24" customHeight="1" x14ac:dyDescent="0.25">
      <c r="A50" s="78" t="s">
        <v>94</v>
      </c>
      <c r="B50" s="151" t="str">
        <f t="shared" ref="B50:B52" si="0">IF(D50=0,E50,CONCATENATE(E50,D50))</f>
        <v>ні</v>
      </c>
      <c r="C50" s="151"/>
      <c r="D50" s="13">
        <f>' '!N7</f>
        <v>0</v>
      </c>
      <c r="E50" s="8" t="str">
        <f>IF(D50&gt;0,"так, ","ні")</f>
        <v>ні</v>
      </c>
      <c r="F50" s="7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</row>
    <row r="51" spans="1:19" ht="24" customHeight="1" x14ac:dyDescent="0.25">
      <c r="A51" s="78" t="s">
        <v>76</v>
      </c>
      <c r="B51" s="151" t="str">
        <f t="shared" si="0"/>
        <v>ні</v>
      </c>
      <c r="C51" s="151"/>
      <c r="D51" s="13">
        <f>' '!N12</f>
        <v>0</v>
      </c>
      <c r="E51" s="8" t="str">
        <f>IF(D51&gt;0,"так, ","ні")</f>
        <v>ні</v>
      </c>
      <c r="F51" s="7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</row>
    <row r="52" spans="1:19" ht="49.7" customHeight="1" x14ac:dyDescent="0.25">
      <c r="A52" s="78" t="s">
        <v>77</v>
      </c>
      <c r="B52" s="151" t="str">
        <f t="shared" si="0"/>
        <v>ні</v>
      </c>
      <c r="C52" s="151"/>
      <c r="D52" s="13">
        <f>' '!N9+' '!N11</f>
        <v>0</v>
      </c>
      <c r="E52" s="8" t="str">
        <f>IF(D52&gt;0,"так, ","ні")</f>
        <v>ні</v>
      </c>
      <c r="F52" s="7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</row>
    <row r="53" spans="1:19" ht="24" customHeight="1" x14ac:dyDescent="0.25">
      <c r="A53" s="78" t="s">
        <v>78</v>
      </c>
      <c r="B53" s="151" t="str">
        <f>IF(D53=0,E53,CONCATENATE(E53,D53))</f>
        <v>ні</v>
      </c>
      <c r="C53" s="151"/>
      <c r="D53" s="13">
        <f>' '!N13</f>
        <v>0</v>
      </c>
      <c r="E53" s="8" t="str">
        <f>IF(D53&gt;0,"так, ","ні")</f>
        <v>ні</v>
      </c>
      <c r="F53" s="7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</row>
    <row r="54" spans="1:19" x14ac:dyDescent="0.25">
      <c r="A54" s="139" t="s">
        <v>23</v>
      </c>
      <c r="B54" s="139"/>
      <c r="C54" s="139"/>
      <c r="D54" s="73"/>
      <c r="E54" s="73"/>
      <c r="F54" s="7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</row>
    <row r="55" spans="1:19" ht="38.25" customHeight="1" x14ac:dyDescent="0.25">
      <c r="A55" s="78" t="s">
        <v>24</v>
      </c>
      <c r="B55" s="137" t="s">
        <v>115</v>
      </c>
      <c r="C55" s="138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</row>
    <row r="56" spans="1:19" x14ac:dyDescent="0.25">
      <c r="A56" s="139" t="s">
        <v>25</v>
      </c>
      <c r="B56" s="139"/>
      <c r="C56" s="139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</row>
    <row r="57" spans="1:19" ht="45" x14ac:dyDescent="0.25">
      <c r="A57" s="78" t="s">
        <v>114</v>
      </c>
      <c r="B57" s="137" t="s">
        <v>74</v>
      </c>
      <c r="C57" s="137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</row>
    <row r="58" spans="1:19" ht="121.7" customHeight="1" x14ac:dyDescent="0.25">
      <c r="A58" s="78" t="s">
        <v>26</v>
      </c>
      <c r="B58" s="143" t="s">
        <v>116</v>
      </c>
      <c r="C58" s="157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</row>
    <row r="59" spans="1:19" ht="23.25" customHeight="1" x14ac:dyDescent="0.25">
      <c r="A59" s="81" t="s">
        <v>75</v>
      </c>
      <c r="B59" s="140" t="s">
        <v>50</v>
      </c>
      <c r="C59" s="141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</row>
    <row r="60" spans="1:19" ht="48" customHeight="1" x14ac:dyDescent="0.25">
      <c r="A60" s="83" t="s">
        <v>117</v>
      </c>
      <c r="B60" s="140" t="s">
        <v>118</v>
      </c>
      <c r="C60" s="141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</row>
    <row r="61" spans="1:19" x14ac:dyDescent="0.25">
      <c r="A61" s="78" t="s">
        <v>27</v>
      </c>
      <c r="B61" s="140" t="s">
        <v>118</v>
      </c>
      <c r="C61" s="141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</row>
    <row r="62" spans="1:19" x14ac:dyDescent="0.25">
      <c r="A62" s="139" t="s">
        <v>28</v>
      </c>
      <c r="B62" s="139"/>
      <c r="C62" s="139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</row>
    <row r="63" spans="1:19" ht="58.7" customHeight="1" x14ac:dyDescent="0.25">
      <c r="A63" s="137" t="s">
        <v>29</v>
      </c>
      <c r="B63" s="137"/>
      <c r="C63" s="137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</row>
    <row r="64" spans="1:19" ht="60" x14ac:dyDescent="0.25">
      <c r="A64" s="78" t="s">
        <v>30</v>
      </c>
      <c r="B64" s="137" t="s">
        <v>149</v>
      </c>
      <c r="C64" s="137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</row>
    <row r="65" spans="1:19" ht="68.25" customHeight="1" x14ac:dyDescent="0.25">
      <c r="A65" s="137" t="s">
        <v>65</v>
      </c>
      <c r="B65" s="137"/>
      <c r="C65" s="137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</row>
    <row r="66" spans="1:19" ht="76.7" customHeight="1" x14ac:dyDescent="0.25">
      <c r="A66" s="137" t="s">
        <v>31</v>
      </c>
      <c r="B66" s="137"/>
      <c r="C66" s="137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</row>
    <row r="67" spans="1:19" ht="15" customHeight="1" x14ac:dyDescent="0.25">
      <c r="A67" s="137" t="str">
        <f ca="1">CONCATENATE(E68,TEXT(D68,"ДД.ММ.ГГГГ"))</f>
        <v>Дата надання інформації: ДД.ММ.ГГГГ</v>
      </c>
      <c r="B67" s="137" t="str">
        <f ca="1">CONCATENATE(E69,TEXT(D69,"ДД.ММ.ГГГГ"))</f>
        <v>Ця інформація зберігає чинність та є актуальною до ДД.ММ.ГГГГ</v>
      </c>
      <c r="C67" s="137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</row>
    <row r="68" spans="1:19" x14ac:dyDescent="0.25">
      <c r="A68" s="137"/>
      <c r="B68" s="137"/>
      <c r="C68" s="137"/>
      <c r="D68" s="19">
        <f ca="1">TODAY()</f>
        <v>45639</v>
      </c>
      <c r="E68" s="8" t="s">
        <v>96</v>
      </c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</row>
    <row r="69" spans="1:19" x14ac:dyDescent="0.25">
      <c r="A69" s="77"/>
      <c r="B69" s="137" t="s">
        <v>33</v>
      </c>
      <c r="C69" s="137"/>
      <c r="D69" s="19">
        <f ca="1">EDATE(D68,' '!D8)</f>
        <v>47465</v>
      </c>
      <c r="E69" s="136" t="s">
        <v>97</v>
      </c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</row>
    <row r="70" spans="1:19" x14ac:dyDescent="0.25">
      <c r="A70" s="82" t="s">
        <v>32</v>
      </c>
      <c r="B70" s="137"/>
      <c r="C70" s="137"/>
      <c r="D70" s="8"/>
      <c r="E70" s="136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</row>
    <row r="71" spans="1:19" ht="38.25" customHeight="1" x14ac:dyDescent="0.25">
      <c r="A71" s="137" t="s">
        <v>34</v>
      </c>
      <c r="B71" s="137"/>
      <c r="C71" s="137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</row>
    <row r="72" spans="1:19" ht="76.7" customHeight="1" x14ac:dyDescent="0.25">
      <c r="A72" s="137" t="s">
        <v>35</v>
      </c>
      <c r="B72" s="137"/>
      <c r="C72" s="137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</row>
    <row r="73" spans="1:19" x14ac:dyDescent="0.25">
      <c r="A73" s="77"/>
      <c r="B73" s="137" t="s">
        <v>37</v>
      </c>
      <c r="C73" s="137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</row>
    <row r="74" spans="1:19" x14ac:dyDescent="0.25">
      <c r="A74" s="82" t="s">
        <v>36</v>
      </c>
      <c r="B74" s="137"/>
      <c r="C74" s="137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</row>
    <row r="75" spans="1:19" x14ac:dyDescent="0.25">
      <c r="A75" s="74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</row>
    <row r="76" spans="1:19" x14ac:dyDescent="0.25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</row>
  </sheetData>
  <mergeCells count="68">
    <mergeCell ref="A3:C3"/>
    <mergeCell ref="B73:C74"/>
    <mergeCell ref="A4:C4"/>
    <mergeCell ref="B61:C61"/>
    <mergeCell ref="A62:C62"/>
    <mergeCell ref="A63:C63"/>
    <mergeCell ref="B64:C64"/>
    <mergeCell ref="B59:C59"/>
    <mergeCell ref="B57:C57"/>
    <mergeCell ref="B58:C58"/>
    <mergeCell ref="B45:C45"/>
    <mergeCell ref="A46:C46"/>
    <mergeCell ref="A47:C47"/>
    <mergeCell ref="A48:C48"/>
    <mergeCell ref="A54:C54"/>
    <mergeCell ref="B37:C37"/>
    <mergeCell ref="B52:C52"/>
    <mergeCell ref="B50:C50"/>
    <mergeCell ref="B51:C51"/>
    <mergeCell ref="A41:C41"/>
    <mergeCell ref="B53:C53"/>
    <mergeCell ref="B34:C34"/>
    <mergeCell ref="B35:C35"/>
    <mergeCell ref="B36:C36"/>
    <mergeCell ref="B33:C33"/>
    <mergeCell ref="B49:C49"/>
    <mergeCell ref="B38:C38"/>
    <mergeCell ref="B39:C39"/>
    <mergeCell ref="B43:C43"/>
    <mergeCell ref="B44:C44"/>
    <mergeCell ref="B42:C42"/>
    <mergeCell ref="B28:C28"/>
    <mergeCell ref="B20:C20"/>
    <mergeCell ref="B29:C29"/>
    <mergeCell ref="B30:C31"/>
    <mergeCell ref="A32:C32"/>
    <mergeCell ref="A5:A7"/>
    <mergeCell ref="A8:A10"/>
    <mergeCell ref="A30:A31"/>
    <mergeCell ref="A25:A26"/>
    <mergeCell ref="B5:C7"/>
    <mergeCell ref="B11:C11"/>
    <mergeCell ref="B12:C12"/>
    <mergeCell ref="B13:C13"/>
    <mergeCell ref="B14:C14"/>
    <mergeCell ref="A15:C15"/>
    <mergeCell ref="A21:C21"/>
    <mergeCell ref="B22:C22"/>
    <mergeCell ref="B23:C23"/>
    <mergeCell ref="B24:C24"/>
    <mergeCell ref="B25:C26"/>
    <mergeCell ref="B27:C27"/>
    <mergeCell ref="E69:E70"/>
    <mergeCell ref="B69:C70"/>
    <mergeCell ref="A71:C71"/>
    <mergeCell ref="A72:C72"/>
    <mergeCell ref="B55:C55"/>
    <mergeCell ref="A56:C56"/>
    <mergeCell ref="A67:A68"/>
    <mergeCell ref="A65:C65"/>
    <mergeCell ref="A66:C66"/>
    <mergeCell ref="B67:C68"/>
    <mergeCell ref="B60:C60"/>
    <mergeCell ref="B8:C10"/>
    <mergeCell ref="B16:C16"/>
    <mergeCell ref="B17:C17"/>
    <mergeCell ref="B18:C18"/>
    <mergeCell ref="B19:C19"/>
  </mergeCells>
  <hyperlinks>
    <hyperlink ref="B13" r:id="rId1" xr:uid="{00000000-0004-0000-0000-000000000000}"/>
    <hyperlink ref="B14" r:id="rId2" xr:uid="{00000000-0004-0000-0000-000001000000}"/>
  </hyperlinks>
  <pageMargins left="0.7" right="0.7" top="0.75" bottom="0.75" header="0.3" footer="0.3"/>
  <pageSetup paperSize="9" scale="77" fitToHeight="0" orientation="portrait" r:id="rId3"/>
  <drawing r:id="rId4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BB804B-8D97-4DDA-98BE-EF5698F8990B}">
  <sheetPr>
    <pageSetUpPr fitToPage="1"/>
  </sheetPr>
  <dimension ref="A1:AD276"/>
  <sheetViews>
    <sheetView topLeftCell="A68" zoomScaleNormal="100" workbookViewId="0">
      <selection activeCell="H88" sqref="H88"/>
    </sheetView>
  </sheetViews>
  <sheetFormatPr defaultColWidth="9.140625" defaultRowHeight="15" x14ac:dyDescent="0.25"/>
  <cols>
    <col min="1" max="1" width="9.140625" style="21"/>
    <col min="2" max="2" width="10.140625" style="21" customWidth="1"/>
    <col min="3" max="3" width="14.5703125" style="21" customWidth="1"/>
    <col min="4" max="4" width="20.7109375" style="21" customWidth="1"/>
    <col min="5" max="5" width="12.28515625" style="21" customWidth="1"/>
    <col min="6" max="6" width="14.7109375" style="21" customWidth="1"/>
    <col min="7" max="7" width="14.28515625" style="21" customWidth="1"/>
    <col min="8" max="8" width="19.140625" style="21" customWidth="1"/>
    <col min="9" max="9" width="22" style="21" customWidth="1"/>
    <col min="10" max="10" width="16.5703125" style="21" customWidth="1"/>
    <col min="11" max="11" width="13.42578125" style="21" customWidth="1"/>
    <col min="12" max="12" width="12.140625" style="21" customWidth="1"/>
    <col min="13" max="13" width="14.42578125" style="21" customWidth="1"/>
    <col min="14" max="14" width="18.140625" style="21" customWidth="1"/>
    <col min="15" max="15" width="13.140625" style="21" customWidth="1"/>
    <col min="16" max="16" width="17.42578125" style="21" customWidth="1"/>
    <col min="17" max="17" width="12.85546875" style="21" customWidth="1"/>
    <col min="18" max="18" width="13.5703125" style="21" customWidth="1"/>
    <col min="19" max="19" width="13.5703125" style="21" hidden="1" customWidth="1"/>
    <col min="20" max="22" width="9.140625" style="21" hidden="1" customWidth="1"/>
    <col min="23" max="23" width="10.85546875" style="21" hidden="1" customWidth="1"/>
    <col min="24" max="25" width="9.140625" style="21" hidden="1" customWidth="1"/>
    <col min="26" max="26" width="13" style="21" hidden="1" customWidth="1"/>
    <col min="27" max="27" width="11.5703125" style="21" hidden="1" customWidth="1"/>
    <col min="28" max="28" width="20.5703125" style="21" hidden="1" customWidth="1"/>
    <col min="29" max="30" width="9.140625" style="21" hidden="1" customWidth="1"/>
    <col min="31" max="31" width="9.140625" style="21" customWidth="1"/>
    <col min="32" max="16384" width="9.140625" style="21"/>
  </cols>
  <sheetData>
    <row r="1" spans="2:30" ht="24.75" customHeight="1" x14ac:dyDescent="0.3">
      <c r="B1" s="168" t="s">
        <v>121</v>
      </c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168"/>
      <c r="S1" s="20"/>
      <c r="Z1" s="21" t="s">
        <v>90</v>
      </c>
      <c r="AA1" s="21" t="s">
        <v>91</v>
      </c>
    </row>
    <row r="2" spans="2:30" x14ac:dyDescent="0.25">
      <c r="B2" s="22"/>
      <c r="C2" s="22"/>
      <c r="D2" s="22"/>
      <c r="E2" s="22"/>
      <c r="F2" s="22"/>
      <c r="G2" s="22"/>
      <c r="H2" s="23"/>
      <c r="I2" s="22"/>
      <c r="J2" s="22"/>
      <c r="K2" s="22"/>
      <c r="L2" s="22"/>
      <c r="M2" s="22"/>
      <c r="N2" s="22"/>
      <c r="O2" s="22"/>
      <c r="P2" s="22"/>
      <c r="Q2" s="22"/>
      <c r="R2" s="22"/>
      <c r="S2" s="22"/>
      <c r="Y2" s="21">
        <v>1</v>
      </c>
      <c r="Z2" s="24">
        <f>P8+P10</f>
        <v>0</v>
      </c>
      <c r="AA2" s="24">
        <f>Z2-P8</f>
        <v>0</v>
      </c>
    </row>
    <row r="3" spans="2:30" x14ac:dyDescent="0.25">
      <c r="B3" s="22"/>
      <c r="C3" s="169" t="s">
        <v>105</v>
      </c>
      <c r="D3" s="169"/>
      <c r="E3" s="170">
        <f ca="1">'Графік платежів 1'!C6</f>
        <v>45639</v>
      </c>
      <c r="F3" s="170"/>
      <c r="G3" s="170"/>
      <c r="H3" s="23"/>
      <c r="I3" s="171" t="s">
        <v>66</v>
      </c>
      <c r="J3" s="171"/>
      <c r="K3" s="171"/>
      <c r="L3" s="171"/>
      <c r="M3" s="171"/>
      <c r="N3" s="171"/>
      <c r="O3" s="167">
        <f>'Графік платежів 1'!C11</f>
        <v>2.9499999999999998E-2</v>
      </c>
      <c r="P3" s="167"/>
      <c r="Q3" s="25">
        <f>O3</f>
        <v>2.9499999999999998E-2</v>
      </c>
      <c r="R3" s="22"/>
      <c r="S3" s="22"/>
      <c r="Y3" s="26">
        <v>2</v>
      </c>
      <c r="Z3" s="27">
        <f>IF($E$8&gt;12,L37,0)</f>
        <v>0</v>
      </c>
      <c r="AA3" s="24">
        <f>IF(Z3&gt;0,$AA$2,0)</f>
        <v>0</v>
      </c>
    </row>
    <row r="4" spans="2:30" x14ac:dyDescent="0.25">
      <c r="B4" s="22"/>
      <c r="C4" s="159" t="s">
        <v>120</v>
      </c>
      <c r="D4" s="160"/>
      <c r="E4" s="163">
        <v>1000000</v>
      </c>
      <c r="F4" s="163"/>
      <c r="G4" s="163"/>
      <c r="H4" s="28"/>
      <c r="I4" s="165" t="s">
        <v>49</v>
      </c>
      <c r="J4" s="165"/>
      <c r="K4" s="165"/>
      <c r="L4" s="165"/>
      <c r="M4" s="165"/>
      <c r="N4" s="165"/>
      <c r="O4" s="166">
        <f>O3*E6</f>
        <v>14750</v>
      </c>
      <c r="P4" s="166"/>
      <c r="Q4" s="29">
        <f>E6*Q3</f>
        <v>14750</v>
      </c>
      <c r="R4" s="22"/>
      <c r="S4" s="22"/>
      <c r="Y4" s="26">
        <v>3</v>
      </c>
      <c r="Z4" s="27">
        <f>IF($E$8&gt;24,L49,0)</f>
        <v>0</v>
      </c>
      <c r="AA4" s="24">
        <f t="shared" ref="AA4:AA21" si="0">IF(Z4&gt;0,$AA$2,0)</f>
        <v>0</v>
      </c>
    </row>
    <row r="5" spans="2:30" ht="25.5" customHeight="1" x14ac:dyDescent="0.25">
      <c r="B5" s="22"/>
      <c r="C5" s="161"/>
      <c r="D5" s="162"/>
      <c r="E5" s="164"/>
      <c r="F5" s="164"/>
      <c r="G5" s="164"/>
      <c r="H5" s="30"/>
      <c r="I5" s="31" t="s">
        <v>63</v>
      </c>
      <c r="J5" s="32"/>
      <c r="K5" s="32"/>
      <c r="L5" s="32"/>
      <c r="M5" s="32"/>
      <c r="N5" s="32"/>
      <c r="O5" s="167">
        <f>'Графік платежів 1'!C10</f>
        <v>0</v>
      </c>
      <c r="P5" s="167"/>
      <c r="Q5" s="33">
        <v>0</v>
      </c>
      <c r="R5" s="22"/>
      <c r="S5" s="22"/>
      <c r="Y5" s="26">
        <v>4</v>
      </c>
      <c r="Z5" s="27">
        <f>IF($E$8&gt;36,L61,0)</f>
        <v>0</v>
      </c>
      <c r="AA5" s="24">
        <f t="shared" si="0"/>
        <v>0</v>
      </c>
    </row>
    <row r="6" spans="2:30" x14ac:dyDescent="0.25">
      <c r="B6" s="22"/>
      <c r="C6" s="172" t="s">
        <v>40</v>
      </c>
      <c r="D6" s="173"/>
      <c r="E6" s="163">
        <f>'Графік платежів 1'!C7</f>
        <v>500000</v>
      </c>
      <c r="F6" s="163"/>
      <c r="G6" s="163"/>
      <c r="H6" s="4"/>
      <c r="I6" s="176" t="s">
        <v>79</v>
      </c>
      <c r="J6" s="178" t="s">
        <v>85</v>
      </c>
      <c r="K6" s="178"/>
      <c r="L6" s="178"/>
      <c r="M6" s="178"/>
      <c r="N6" s="178"/>
      <c r="O6" s="178"/>
      <c r="P6" s="178"/>
      <c r="Q6" s="34"/>
      <c r="R6" s="22"/>
      <c r="S6" s="22"/>
      <c r="Y6" s="26">
        <v>5</v>
      </c>
      <c r="Z6" s="27">
        <f>IF($E$8&gt;48,L73,0)</f>
        <v>0</v>
      </c>
      <c r="AA6" s="24">
        <f t="shared" si="0"/>
        <v>0</v>
      </c>
    </row>
    <row r="7" spans="2:30" ht="28.5" customHeight="1" x14ac:dyDescent="0.25">
      <c r="B7" s="22"/>
      <c r="C7" s="174"/>
      <c r="D7" s="175"/>
      <c r="E7" s="164"/>
      <c r="F7" s="164"/>
      <c r="G7" s="164"/>
      <c r="H7" s="35"/>
      <c r="I7" s="177"/>
      <c r="J7" s="179" t="s">
        <v>86</v>
      </c>
      <c r="K7" s="180"/>
      <c r="L7" s="180"/>
      <c r="M7" s="180"/>
      <c r="N7" s="180"/>
      <c r="O7" s="181">
        <f>'Графік платежів 1'!G8</f>
        <v>0</v>
      </c>
      <c r="P7" s="182"/>
      <c r="Q7" s="36">
        <f>O7</f>
        <v>0</v>
      </c>
      <c r="R7" s="22"/>
      <c r="S7" s="22"/>
      <c r="Y7" s="26">
        <v>6</v>
      </c>
      <c r="Z7" s="27">
        <f>IF($E$8&gt;60,L85,0)</f>
        <v>0</v>
      </c>
      <c r="AA7" s="24">
        <f t="shared" si="0"/>
        <v>0</v>
      </c>
      <c r="AB7" s="21" t="s">
        <v>58</v>
      </c>
    </row>
    <row r="8" spans="2:30" ht="19.5" customHeight="1" x14ac:dyDescent="0.25">
      <c r="B8" s="22"/>
      <c r="C8" s="183" t="s">
        <v>39</v>
      </c>
      <c r="D8" s="184"/>
      <c r="E8" s="185">
        <f>'Графік платежів 2'!C8</f>
        <v>60</v>
      </c>
      <c r="F8" s="185"/>
      <c r="G8" s="185"/>
      <c r="H8" s="72" t="str">
        <f>IF(E8&gt;120,"Макс. строк- 60 міс."," ")</f>
        <v xml:space="preserve"> </v>
      </c>
      <c r="I8" s="177"/>
      <c r="J8" s="179" t="s">
        <v>107</v>
      </c>
      <c r="K8" s="180"/>
      <c r="L8" s="180"/>
      <c r="M8" s="180"/>
      <c r="N8" s="180"/>
      <c r="O8" s="64">
        <f>'Графік платежів 1'!G10</f>
        <v>0</v>
      </c>
      <c r="P8" s="65">
        <f>O8*E4</f>
        <v>0</v>
      </c>
      <c r="Q8" s="37">
        <f>Q4</f>
        <v>14750</v>
      </c>
      <c r="R8" s="38"/>
      <c r="S8" s="38"/>
      <c r="U8" s="21" t="s">
        <v>55</v>
      </c>
      <c r="Y8" s="26">
        <v>7</v>
      </c>
      <c r="Z8" s="27">
        <f>IF($E$8&gt;72,L97,0)</f>
        <v>0</v>
      </c>
      <c r="AA8" s="24">
        <f t="shared" si="0"/>
        <v>0</v>
      </c>
      <c r="AB8" s="22" t="s">
        <v>59</v>
      </c>
      <c r="AC8" s="21" t="s">
        <v>53</v>
      </c>
      <c r="AD8" s="21">
        <v>1700</v>
      </c>
    </row>
    <row r="9" spans="2:30" ht="21" customHeight="1" x14ac:dyDescent="0.25">
      <c r="B9" s="22"/>
      <c r="C9" s="183" t="s">
        <v>165</v>
      </c>
      <c r="D9" s="184"/>
      <c r="E9" s="186">
        <f>'Графік платежів 2'!H6</f>
        <v>0.29949999999999999</v>
      </c>
      <c r="F9" s="186"/>
      <c r="G9" s="186"/>
      <c r="H9" s="84">
        <f>-PMT(E11/12,E8-1,F25)</f>
        <v>24828.436720519658</v>
      </c>
      <c r="I9" s="177"/>
      <c r="J9" s="66" t="s">
        <v>87</v>
      </c>
      <c r="K9" s="67"/>
      <c r="L9" s="67"/>
      <c r="M9" s="67"/>
      <c r="N9" s="67"/>
      <c r="O9" s="181">
        <f>'Графік платежів 1'!G9</f>
        <v>0</v>
      </c>
      <c r="P9" s="182"/>
      <c r="Q9" s="34">
        <f>Q5</f>
        <v>0</v>
      </c>
      <c r="R9" s="22"/>
      <c r="S9" s="22"/>
      <c r="U9" s="21" t="s">
        <v>56</v>
      </c>
      <c r="Y9" s="26">
        <v>8</v>
      </c>
      <c r="Z9" s="27">
        <f>IF($E$8&gt;84,L109,0)</f>
        <v>0</v>
      </c>
      <c r="AA9" s="24">
        <f t="shared" si="0"/>
        <v>0</v>
      </c>
    </row>
    <row r="10" spans="2:30" ht="18" customHeight="1" x14ac:dyDescent="0.25">
      <c r="B10" s="22"/>
      <c r="C10" s="183" t="s">
        <v>106</v>
      </c>
      <c r="D10" s="184"/>
      <c r="E10" s="187">
        <f ca="1">EDATE(E3,E8)</f>
        <v>47465</v>
      </c>
      <c r="F10" s="187"/>
      <c r="G10" s="187"/>
      <c r="H10" s="5"/>
      <c r="I10" s="177"/>
      <c r="J10" s="179" t="s">
        <v>108</v>
      </c>
      <c r="K10" s="180"/>
      <c r="L10" s="180"/>
      <c r="M10" s="180"/>
      <c r="N10" s="180"/>
      <c r="O10" s="64">
        <f>'Графік платежів 1'!G7</f>
        <v>0</v>
      </c>
      <c r="P10" s="65">
        <f>O10*E6</f>
        <v>0</v>
      </c>
      <c r="Q10" s="42"/>
      <c r="R10" s="5"/>
      <c r="S10" s="5"/>
      <c r="T10" s="2"/>
      <c r="Y10" s="26">
        <v>9</v>
      </c>
      <c r="Z10" s="27">
        <f>IF($E$8&gt;96,L121,0)</f>
        <v>0</v>
      </c>
      <c r="AA10" s="24">
        <f t="shared" si="0"/>
        <v>0</v>
      </c>
      <c r="AD10" s="21">
        <f>E4/AD8</f>
        <v>588.23529411764707</v>
      </c>
    </row>
    <row r="11" spans="2:30" ht="12.75" customHeight="1" x14ac:dyDescent="0.25">
      <c r="B11" s="22"/>
      <c r="C11" s="183" t="s">
        <v>165</v>
      </c>
      <c r="D11" s="184"/>
      <c r="E11" s="186">
        <f>'Графік платежів 2'!H7</f>
        <v>0.5595</v>
      </c>
      <c r="F11" s="186"/>
      <c r="G11" s="186"/>
      <c r="H11" s="5"/>
      <c r="I11" s="177"/>
      <c r="J11" s="66" t="s">
        <v>83</v>
      </c>
      <c r="K11" s="67"/>
      <c r="L11" s="67"/>
      <c r="M11" s="67"/>
      <c r="N11" s="67"/>
      <c r="O11" s="181">
        <v>0</v>
      </c>
      <c r="P11" s="182"/>
      <c r="Q11" s="34"/>
      <c r="R11" s="5"/>
      <c r="S11" s="5"/>
      <c r="T11" s="2"/>
      <c r="Y11" s="26">
        <v>10</v>
      </c>
      <c r="Z11" s="27">
        <f>IF($E$8&gt;108,L133,0)</f>
        <v>0</v>
      </c>
      <c r="AA11" s="24">
        <f t="shared" si="0"/>
        <v>0</v>
      </c>
    </row>
    <row r="12" spans="2:30" ht="30" hidden="1" customHeight="1" x14ac:dyDescent="0.25">
      <c r="B12" s="22"/>
      <c r="C12" s="22"/>
      <c r="D12" s="43" t="s">
        <v>64</v>
      </c>
      <c r="E12" s="36"/>
      <c r="F12" s="39">
        <f>G12+G13</f>
        <v>0</v>
      </c>
      <c r="G12" s="36">
        <v>0</v>
      </c>
      <c r="H12" s="5"/>
      <c r="I12" s="15"/>
      <c r="J12" s="40"/>
      <c r="K12" s="41"/>
      <c r="L12" s="41"/>
      <c r="M12" s="41"/>
      <c r="N12" s="41"/>
      <c r="O12" s="190"/>
      <c r="P12" s="191"/>
      <c r="Q12" s="37">
        <f>IF(N12="наявне",E6*E8*0.12%,0)</f>
        <v>0</v>
      </c>
      <c r="R12" s="12"/>
      <c r="S12" s="5"/>
      <c r="T12" s="2"/>
      <c r="Y12" s="26">
        <v>11</v>
      </c>
      <c r="Z12" s="27">
        <f>IF($E$8&gt;120,L145,0)</f>
        <v>0</v>
      </c>
      <c r="AA12" s="24">
        <f t="shared" si="0"/>
        <v>0</v>
      </c>
    </row>
    <row r="13" spans="2:30" ht="15.75" hidden="1" customHeight="1" x14ac:dyDescent="0.25">
      <c r="B13" s="44"/>
      <c r="C13" s="22"/>
      <c r="D13" s="43" t="s">
        <v>51</v>
      </c>
      <c r="E13" s="45"/>
      <c r="F13" s="45"/>
      <c r="G13" s="36">
        <v>0</v>
      </c>
      <c r="H13" s="6"/>
      <c r="I13" s="15"/>
      <c r="J13" s="40"/>
      <c r="K13" s="41"/>
      <c r="L13" s="41"/>
      <c r="M13" s="41"/>
      <c r="N13" s="41"/>
      <c r="O13" s="190"/>
      <c r="P13" s="191"/>
      <c r="Q13" s="11"/>
      <c r="R13" s="6"/>
      <c r="S13" s="6"/>
      <c r="T13" s="1"/>
      <c r="Y13" s="26">
        <v>12</v>
      </c>
      <c r="Z13" s="27">
        <f>IF($E$8&gt;132,L157,0)</f>
        <v>0</v>
      </c>
      <c r="AA13" s="24">
        <f t="shared" si="0"/>
        <v>0</v>
      </c>
    </row>
    <row r="14" spans="2:30" ht="30" hidden="1" x14ac:dyDescent="0.25">
      <c r="B14" s="22"/>
      <c r="C14" s="22"/>
      <c r="D14" s="46" t="s">
        <v>93</v>
      </c>
      <c r="E14" s="25"/>
      <c r="F14" s="47"/>
      <c r="G14" s="25">
        <v>0.1699</v>
      </c>
      <c r="H14" s="6"/>
      <c r="I14" s="48" t="s">
        <v>88</v>
      </c>
      <c r="J14" s="49"/>
      <c r="K14" s="49"/>
      <c r="L14" s="49"/>
      <c r="M14" s="50"/>
      <c r="N14" s="51" t="s">
        <v>89</v>
      </c>
      <c r="O14" s="192">
        <v>0</v>
      </c>
      <c r="P14" s="192"/>
      <c r="Q14" s="6"/>
      <c r="R14" s="6"/>
      <c r="S14" s="6"/>
      <c r="T14" s="1"/>
      <c r="Y14" s="26">
        <v>13</v>
      </c>
      <c r="Z14" s="27">
        <f>IF($E$8&gt;144,L169,0)</f>
        <v>0</v>
      </c>
      <c r="AA14" s="24">
        <f t="shared" si="0"/>
        <v>0</v>
      </c>
    </row>
    <row r="15" spans="2:30" ht="31.7" hidden="1" customHeight="1" x14ac:dyDescent="0.25">
      <c r="B15" s="22"/>
      <c r="C15" s="22"/>
      <c r="D15" s="46" t="s">
        <v>93</v>
      </c>
      <c r="E15" s="36"/>
      <c r="F15" s="45"/>
      <c r="G15" s="36">
        <v>0.1699</v>
      </c>
      <c r="H15" s="5"/>
      <c r="I15" s="14"/>
      <c r="J15" s="14"/>
      <c r="K15" s="14"/>
      <c r="L15" s="14"/>
      <c r="M15" s="14"/>
      <c r="N15" s="5"/>
      <c r="O15" s="5"/>
      <c r="P15" s="5"/>
      <c r="Q15" s="52"/>
      <c r="R15" s="5"/>
      <c r="S15" s="5"/>
      <c r="T15" s="2"/>
      <c r="Y15" s="26">
        <v>14</v>
      </c>
      <c r="Z15" s="27">
        <f>IF($E$8&gt;156,L181,0)</f>
        <v>0</v>
      </c>
      <c r="AA15" s="24">
        <f t="shared" si="0"/>
        <v>0</v>
      </c>
      <c r="AD15" s="21" t="str">
        <f>IF(AD10&lt;165,"3%",IF(AD10&gt;290,"5%","4%"))</f>
        <v>5%</v>
      </c>
    </row>
    <row r="16" spans="2:30" hidden="1" x14ac:dyDescent="0.25">
      <c r="B16" s="22"/>
      <c r="C16" s="22"/>
      <c r="D16" s="45"/>
      <c r="E16" s="45"/>
      <c r="F16" s="45"/>
      <c r="G16" s="53"/>
      <c r="H16" s="5"/>
      <c r="I16" s="14"/>
      <c r="J16" s="14"/>
      <c r="K16" s="14"/>
      <c r="L16" s="14"/>
      <c r="M16" s="14"/>
      <c r="N16" s="5"/>
      <c r="O16" s="5"/>
      <c r="P16" s="5"/>
      <c r="Q16" s="52"/>
      <c r="R16" s="5"/>
      <c r="S16" s="5"/>
      <c r="T16" s="2"/>
      <c r="Y16" s="26">
        <v>15</v>
      </c>
      <c r="Z16" s="27">
        <f>IF($E$8&gt;168,L193,0)</f>
        <v>0</v>
      </c>
      <c r="AA16" s="24">
        <f t="shared" si="0"/>
        <v>0</v>
      </c>
    </row>
    <row r="17" spans="1:27" hidden="1" x14ac:dyDescent="0.25">
      <c r="B17" s="22"/>
      <c r="C17" s="22"/>
      <c r="D17" s="45"/>
      <c r="E17" s="45"/>
      <c r="F17" s="45"/>
      <c r="G17" s="53"/>
      <c r="H17" s="5"/>
      <c r="I17" s="14"/>
      <c r="J17" s="14"/>
      <c r="K17" s="14"/>
      <c r="L17" s="14"/>
      <c r="M17" s="14"/>
      <c r="N17" s="5"/>
      <c r="O17" s="5"/>
      <c r="P17" s="5"/>
      <c r="Q17" s="52"/>
      <c r="R17" s="5"/>
      <c r="S17" s="5"/>
      <c r="T17" s="2"/>
      <c r="Y17" s="26">
        <v>16</v>
      </c>
      <c r="Z17" s="27">
        <f>IF($E$8&gt;180,L205,0)</f>
        <v>0</v>
      </c>
      <c r="AA17" s="24">
        <f t="shared" si="0"/>
        <v>0</v>
      </c>
    </row>
    <row r="18" spans="1:27" hidden="1" x14ac:dyDescent="0.25">
      <c r="B18" s="22"/>
      <c r="C18" s="22"/>
      <c r="D18" s="45"/>
      <c r="E18" s="45"/>
      <c r="F18" s="45"/>
      <c r="G18" s="53"/>
      <c r="H18" s="5"/>
      <c r="I18" s="14"/>
      <c r="J18" s="14"/>
      <c r="K18" s="14"/>
      <c r="L18" s="14"/>
      <c r="M18" s="14"/>
      <c r="N18" s="5"/>
      <c r="O18" s="5"/>
      <c r="P18" s="5"/>
      <c r="Q18" s="52"/>
      <c r="R18" s="5"/>
      <c r="S18" s="5"/>
      <c r="T18" s="2"/>
      <c r="Y18" s="26">
        <v>17</v>
      </c>
      <c r="Z18" s="27">
        <f>IF($E$8&gt;192,L217,0)</f>
        <v>0</v>
      </c>
      <c r="AA18" s="24">
        <f t="shared" si="0"/>
        <v>0</v>
      </c>
    </row>
    <row r="19" spans="1:27" hidden="1" x14ac:dyDescent="0.25">
      <c r="B19" s="22"/>
      <c r="C19" s="22"/>
      <c r="D19" s="45"/>
      <c r="E19" s="45"/>
      <c r="F19" s="45"/>
      <c r="G19" s="53"/>
      <c r="H19" s="5"/>
      <c r="I19" s="14"/>
      <c r="J19" s="14"/>
      <c r="K19" s="14"/>
      <c r="L19" s="14"/>
      <c r="M19" s="14"/>
      <c r="N19" s="5"/>
      <c r="O19" s="5"/>
      <c r="P19" s="5"/>
      <c r="Q19" s="52"/>
      <c r="R19" s="5"/>
      <c r="S19" s="5"/>
      <c r="T19" s="2"/>
      <c r="Y19" s="26">
        <v>18</v>
      </c>
      <c r="Z19" s="27">
        <f>IF($E$8&gt;204,L229,0)</f>
        <v>0</v>
      </c>
      <c r="AA19" s="24">
        <f t="shared" si="0"/>
        <v>0</v>
      </c>
    </row>
    <row r="20" spans="1:27" hidden="1" x14ac:dyDescent="0.25">
      <c r="B20" s="22"/>
      <c r="C20" s="22"/>
      <c r="D20" s="45"/>
      <c r="E20" s="45"/>
      <c r="F20" s="45"/>
      <c r="G20" s="53"/>
      <c r="H20" s="5"/>
      <c r="I20" s="14"/>
      <c r="J20" s="14"/>
      <c r="K20" s="14"/>
      <c r="L20" s="14"/>
      <c r="M20" s="14"/>
      <c r="N20" s="5"/>
      <c r="O20" s="5"/>
      <c r="P20" s="5"/>
      <c r="Q20" s="52"/>
      <c r="R20" s="5"/>
      <c r="S20" s="5"/>
      <c r="T20" s="2"/>
      <c r="Y20" s="26">
        <v>19</v>
      </c>
      <c r="Z20" s="27">
        <f>IF($E$8&gt;216,L241,0)</f>
        <v>0</v>
      </c>
      <c r="AA20" s="24">
        <f t="shared" si="0"/>
        <v>0</v>
      </c>
    </row>
    <row r="21" spans="1:27" ht="18.75" customHeight="1" x14ac:dyDescent="0.25">
      <c r="B21" s="54"/>
      <c r="C21" s="22"/>
      <c r="D21" s="54"/>
      <c r="E21" s="54"/>
      <c r="F21" s="22"/>
      <c r="G21" s="22"/>
      <c r="H21" s="9"/>
      <c r="I21" s="10"/>
      <c r="J21" s="9"/>
      <c r="K21" s="9"/>
      <c r="L21" s="9"/>
      <c r="M21" s="9"/>
      <c r="N21" s="9"/>
      <c r="O21" s="9"/>
      <c r="P21" s="9"/>
      <c r="Q21" s="10"/>
      <c r="R21" s="6"/>
      <c r="S21" s="6"/>
      <c r="T21" s="1"/>
      <c r="Y21" s="26">
        <v>20</v>
      </c>
      <c r="Z21" s="27">
        <f>IF($E$8&gt;228,L253,0)</f>
        <v>0</v>
      </c>
      <c r="AA21" s="24">
        <f t="shared" si="0"/>
        <v>0</v>
      </c>
    </row>
    <row r="22" spans="1:27" ht="23.25" customHeight="1" x14ac:dyDescent="0.25">
      <c r="B22" s="193" t="s">
        <v>41</v>
      </c>
      <c r="C22" s="68" t="s">
        <v>42</v>
      </c>
      <c r="D22" s="193" t="s">
        <v>42</v>
      </c>
      <c r="E22" s="69" t="s">
        <v>43</v>
      </c>
      <c r="F22" s="193" t="s">
        <v>44</v>
      </c>
      <c r="G22" s="193" t="s">
        <v>45</v>
      </c>
      <c r="H22" s="193" t="s">
        <v>46</v>
      </c>
      <c r="I22" s="193" t="s">
        <v>47</v>
      </c>
      <c r="J22" s="195" t="s">
        <v>79</v>
      </c>
      <c r="K22" s="196"/>
      <c r="L22" s="196"/>
      <c r="M22" s="197"/>
      <c r="N22" s="193" t="s">
        <v>48</v>
      </c>
      <c r="O22" s="193" t="s">
        <v>84</v>
      </c>
      <c r="P22" s="193" t="s">
        <v>122</v>
      </c>
      <c r="Q22" s="193" t="s">
        <v>61</v>
      </c>
      <c r="R22" s="193" t="s">
        <v>60</v>
      </c>
      <c r="S22" s="188" t="s">
        <v>92</v>
      </c>
      <c r="T22" s="1"/>
      <c r="Z22" s="24">
        <f>SUM(Z2:Z21)</f>
        <v>0</v>
      </c>
      <c r="AA22" s="24">
        <f>SUM(AA2:AA21)</f>
        <v>0</v>
      </c>
    </row>
    <row r="23" spans="1:27" ht="22.7" customHeight="1" x14ac:dyDescent="0.25">
      <c r="B23" s="194"/>
      <c r="C23" s="70"/>
      <c r="D23" s="194"/>
      <c r="E23" s="71"/>
      <c r="F23" s="194"/>
      <c r="G23" s="194"/>
      <c r="H23" s="194"/>
      <c r="I23" s="194"/>
      <c r="J23" s="70" t="s">
        <v>80</v>
      </c>
      <c r="K23" s="70" t="s">
        <v>81</v>
      </c>
      <c r="L23" s="70" t="s">
        <v>82</v>
      </c>
      <c r="M23" s="70" t="s">
        <v>83</v>
      </c>
      <c r="N23" s="194"/>
      <c r="O23" s="194"/>
      <c r="P23" s="194"/>
      <c r="Q23" s="194"/>
      <c r="R23" s="194"/>
      <c r="S23" s="189"/>
      <c r="T23" s="1"/>
    </row>
    <row r="24" spans="1:27" ht="12" customHeight="1" x14ac:dyDescent="0.25">
      <c r="B24" s="7"/>
      <c r="C24" s="55">
        <f ca="1">E3</f>
        <v>45639</v>
      </c>
      <c r="D24" s="55">
        <f ca="1">IF(B24&gt;$E$8,"",C24)</f>
        <v>45639</v>
      </c>
      <c r="E24" s="7"/>
      <c r="F24" s="56">
        <f>E6</f>
        <v>500000</v>
      </c>
      <c r="G24" s="7"/>
      <c r="H24" s="56"/>
      <c r="I24" s="87">
        <f>-F24+J24+K24+L24+M24+N24+O24+P24</f>
        <v>-485250</v>
      </c>
      <c r="J24" s="57">
        <f>Q7</f>
        <v>0</v>
      </c>
      <c r="K24" s="57">
        <f>$O$9</f>
        <v>0</v>
      </c>
      <c r="L24" s="57">
        <f>P8+P10</f>
        <v>0</v>
      </c>
      <c r="M24" s="57">
        <f>O11</f>
        <v>0</v>
      </c>
      <c r="N24" s="56">
        <f>Q8</f>
        <v>14750</v>
      </c>
      <c r="O24" s="56">
        <f>O14</f>
        <v>0</v>
      </c>
      <c r="P24" s="57"/>
      <c r="Q24" s="16" t="s">
        <v>144</v>
      </c>
      <c r="R24" s="17" t="s">
        <v>144</v>
      </c>
      <c r="S24" s="56">
        <f>I24</f>
        <v>-485250</v>
      </c>
      <c r="T24" s="1"/>
      <c r="U24" s="21">
        <f ca="1">U25</f>
        <v>365</v>
      </c>
    </row>
    <row r="25" spans="1:27" x14ac:dyDescent="0.25">
      <c r="B25" s="58">
        <v>1</v>
      </c>
      <c r="C25" s="55">
        <f ca="1">EDATE($C$24,B25)</f>
        <v>45670</v>
      </c>
      <c r="D25" s="55">
        <f ca="1">IF(B25&gt;$E$8,"",C25-DAY(C25)+10)</f>
        <v>45667</v>
      </c>
      <c r="E25" s="58">
        <f ca="1">IF(B25&gt;$E$8,"",D25-D24)</f>
        <v>28</v>
      </c>
      <c r="F25" s="56">
        <f>F24-G25</f>
        <v>496317.82127129531</v>
      </c>
      <c r="G25" s="56">
        <f>IF(B24=$E$8,SUM($G$24:G24),IF(B24&gt;$E$8+1,"",PPMT($E$9/12,B25,$E$8,-$E$6)))</f>
        <v>3682.1787287046741</v>
      </c>
      <c r="H25" s="56">
        <f>IF(B24=$E$8,SUM($H$24:H24),IF(B24&gt;$E$8+1,"",IPMT($E$9/12,B25,$E$8,-$E$6)))</f>
        <v>12479.166666666666</v>
      </c>
      <c r="I25" s="56">
        <f>IF(B24=$E$8,SUM($I24:I$25),IF(B24&gt;$E$8,"",G25+H25+P25))</f>
        <v>16161.34539537134</v>
      </c>
      <c r="J25" s="56" t="s">
        <v>144</v>
      </c>
      <c r="K25" s="56" t="s">
        <v>144</v>
      </c>
      <c r="L25" s="56" t="s">
        <v>144</v>
      </c>
      <c r="M25" s="56"/>
      <c r="N25" s="58" t="s">
        <v>144</v>
      </c>
      <c r="O25" s="58"/>
      <c r="P25" s="56">
        <f>IF(B24=$E$8,SUM($P24:P$25),IF(B24&gt;$E$8," ",$O$5*$E$6))</f>
        <v>0</v>
      </c>
      <c r="Q25" s="59" t="str">
        <f>IF(B24=$E$8,XIRR(I$24:I24,D$24:D24),"")</f>
        <v/>
      </c>
      <c r="R25" s="58" t="s">
        <v>144</v>
      </c>
      <c r="S25" s="56">
        <f>SUM(I25:R25)</f>
        <v>16161.34539537134</v>
      </c>
      <c r="T25" s="21">
        <f ca="1">IF(D25="","",YEAR(D25))</f>
        <v>2025</v>
      </c>
      <c r="U25" s="21">
        <f ca="1">IF(OR(T25=2024,T25=2028,T25=2016,T25=2020,T25=2024,T25=2028,T25=2032,T25=2036,T25=2040),366,365)</f>
        <v>365</v>
      </c>
      <c r="V25" s="21">
        <f ca="1">IF(D25="","",DAY(D25))</f>
        <v>10</v>
      </c>
      <c r="W25" s="60">
        <f ca="1">V25-1</f>
        <v>9</v>
      </c>
      <c r="X25" s="61">
        <f ca="1">E25-W25</f>
        <v>19</v>
      </c>
    </row>
    <row r="26" spans="1:27" x14ac:dyDescent="0.25">
      <c r="A26" s="21">
        <v>1</v>
      </c>
      <c r="B26" s="58">
        <f t="shared" ref="B26:B89" si="1">IF(B25&lt;$E$8,B25+1,"")</f>
        <v>2</v>
      </c>
      <c r="C26" s="55">
        <f t="shared" ref="C26" ca="1" si="2">EDATE($C$24,B26)</f>
        <v>45701</v>
      </c>
      <c r="D26" s="55">
        <f t="shared" ref="D26:D84" ca="1" si="3">IF(B26&gt;$E$8,"",C26-DAY(C26)+10)</f>
        <v>45698</v>
      </c>
      <c r="E26" s="58">
        <f t="shared" ref="E26:E84" ca="1" si="4">IF(B26&gt;$E$8,"",D26-D25)</f>
        <v>31</v>
      </c>
      <c r="F26" s="56">
        <f>F25-G26</f>
        <v>494630.20296754979</v>
      </c>
      <c r="G26" s="56">
        <f>IF(B25=$E$8,SUM($G$24:G25),IF(B25&gt;$E$8+1,"",PPMT($E$11/12,A26,$E$8-1,-$F$25)))</f>
        <v>1687.6183037455153</v>
      </c>
      <c r="H26" s="56">
        <f>IF(B25=$E$8,SUM($H$24:H25),IF(B25&gt;$E$8,"",IPMT($E$11/12,A26,$E$8-1,-$F$25)))</f>
        <v>23140.818416774142</v>
      </c>
      <c r="I26" s="56">
        <f>IF(B25=$E$8,SUM($I$25:I25),IF(B25&gt;$E$8,"",G26+H26+P26))</f>
        <v>24828.436720519658</v>
      </c>
      <c r="J26" s="56" t="s">
        <v>144</v>
      </c>
      <c r="K26" s="56"/>
      <c r="L26" s="56" t="s">
        <v>144</v>
      </c>
      <c r="M26" s="56"/>
      <c r="N26" s="58" t="s">
        <v>144</v>
      </c>
      <c r="O26" s="58"/>
      <c r="P26" s="56">
        <f>IF(B25=$E$8,SUM($P$25:P25),IF(B25&gt;$E$8," ",$O$5*$E$6))</f>
        <v>0</v>
      </c>
      <c r="Q26" s="59" t="str">
        <f>IF(B25=$E$8,XIRR(I$24:I25,D$24:D25),"")</f>
        <v/>
      </c>
      <c r="R26" s="58" t="s">
        <v>144</v>
      </c>
      <c r="S26" s="56">
        <f t="shared" ref="S26:S89" si="5">SUM(I26:R26)</f>
        <v>24828.436720519658</v>
      </c>
      <c r="T26" s="21">
        <f t="shared" ref="T26:T89" ca="1" si="6">IF(D26="","",YEAR(D26))</f>
        <v>2025</v>
      </c>
      <c r="U26" s="21">
        <f t="shared" ref="U26:U89" ca="1" si="7">IF(OR(T26=2024,T26=2028,T26=2016,T26=2020,T26=2024,T26=2028,T26=2032,T26=2036,T26=2040),366,365)</f>
        <v>365</v>
      </c>
      <c r="V26" s="21">
        <f t="shared" ref="V26:V89" ca="1" si="8">IF(D26="","",DAY(D26))</f>
        <v>10</v>
      </c>
      <c r="W26" s="60">
        <f t="shared" ref="W26:W89" ca="1" si="9">V26-1</f>
        <v>9</v>
      </c>
      <c r="X26" s="61">
        <f t="shared" ref="X26:X89" ca="1" si="10">E26-W26</f>
        <v>22</v>
      </c>
    </row>
    <row r="27" spans="1:27" x14ac:dyDescent="0.25">
      <c r="A27" s="21">
        <v>2</v>
      </c>
      <c r="B27" s="58">
        <f t="shared" si="1"/>
        <v>3</v>
      </c>
      <c r="C27" s="55">
        <f t="shared" ref="C27:C36" ca="1" si="11">IF(B27="","",EDATE($C$24,B27))</f>
        <v>45729</v>
      </c>
      <c r="D27" s="55">
        <f t="shared" ca="1" si="3"/>
        <v>45726</v>
      </c>
      <c r="E27" s="58">
        <f t="shared" ca="1" si="4"/>
        <v>28</v>
      </c>
      <c r="F27" s="56">
        <f t="shared" ref="F27:F36" si="12">F26-G27</f>
        <v>492863.89946039213</v>
      </c>
      <c r="G27" s="56">
        <f>IF(B26=$E$8,SUM($G$24:G26),IF(B26&gt;$E$8+1,"",PPMT($E$11/12,A27,$E$8-1,-$F$25)))</f>
        <v>1766.3035071576498</v>
      </c>
      <c r="H27" s="56">
        <f>IF(B26=$E$8,SUM($H$24:H26),IF(B26&gt;$E$8,"",IPMT($E$11/12,A27,$E$8-1,-$F$25)))</f>
        <v>23062.133213362009</v>
      </c>
      <c r="I27" s="56">
        <f>IF(B26=$E$8,SUM($I$25:I26),IF(B26&gt;$E$8,"",G27+H27+P27))</f>
        <v>24828.436720519658</v>
      </c>
      <c r="J27" s="56" t="s">
        <v>144</v>
      </c>
      <c r="K27" s="56"/>
      <c r="L27" s="56" t="s">
        <v>144</v>
      </c>
      <c r="M27" s="56"/>
      <c r="N27" s="58" t="s">
        <v>144</v>
      </c>
      <c r="O27" s="58"/>
      <c r="P27" s="56">
        <f>IF(B26=$E$8,SUM($P$25:P26),IF(B26&gt;$E$8," ",$O$5*$E$6))</f>
        <v>0</v>
      </c>
      <c r="Q27" s="59" t="str">
        <f>IF(B26=$E$8,XIRR(I$24:I26,D$24:D26),"")</f>
        <v/>
      </c>
      <c r="R27" s="56" t="str">
        <f t="shared" ref="R27:R90" si="13">IF(B26=$E$8,H27+N27+G27+J27+K27+L27+M27+O27+P27,"")</f>
        <v/>
      </c>
      <c r="S27" s="56">
        <f t="shared" si="5"/>
        <v>24828.436720519658</v>
      </c>
      <c r="T27" s="21">
        <f t="shared" ca="1" si="6"/>
        <v>2025</v>
      </c>
      <c r="U27" s="21">
        <f t="shared" ca="1" si="7"/>
        <v>365</v>
      </c>
      <c r="V27" s="21">
        <f t="shared" ca="1" si="8"/>
        <v>10</v>
      </c>
      <c r="W27" s="60">
        <f t="shared" ca="1" si="9"/>
        <v>9</v>
      </c>
      <c r="X27" s="61">
        <f t="shared" ca="1" si="10"/>
        <v>19</v>
      </c>
    </row>
    <row r="28" spans="1:27" x14ac:dyDescent="0.25">
      <c r="A28" s="21">
        <v>3</v>
      </c>
      <c r="B28" s="58">
        <f t="shared" si="1"/>
        <v>4</v>
      </c>
      <c r="C28" s="55">
        <f t="shared" ca="1" si="11"/>
        <v>45760</v>
      </c>
      <c r="D28" s="55">
        <f t="shared" ca="1" si="3"/>
        <v>45757</v>
      </c>
      <c r="E28" s="58">
        <f t="shared" ca="1" si="4"/>
        <v>31</v>
      </c>
      <c r="F28" s="56">
        <f t="shared" si="12"/>
        <v>491015.24205221323</v>
      </c>
      <c r="G28" s="56">
        <f>IF(B27=$E$8,SUM($G$24:G27),IF(B27&gt;$E$8+1,"",PPMT($E$11/12,A28,$E$8-1,-$F$25)))</f>
        <v>1848.6574081788756</v>
      </c>
      <c r="H28" s="56">
        <f>IF(B27=$E$8,SUM($H$24:H27),IF(B27&gt;$E$8,"",IPMT($E$11/12,A28,$E$8-1,-$F$25)))</f>
        <v>22979.779312340783</v>
      </c>
      <c r="I28" s="56">
        <f>IF(B27=$E$8,SUM($I$25:I27),IF(B27&gt;$E$8,"",G28+H28+P28))</f>
        <v>24828.436720519658</v>
      </c>
      <c r="J28" s="56" t="s">
        <v>144</v>
      </c>
      <c r="K28" s="56"/>
      <c r="L28" s="56" t="s">
        <v>144</v>
      </c>
      <c r="M28" s="56"/>
      <c r="N28" s="56" t="s">
        <v>144</v>
      </c>
      <c r="O28" s="56"/>
      <c r="P28" s="56">
        <f>IF(B27=$E$8,SUM($P$25:P27),IF(B27&gt;$E$8," ",$O$5*$E$6))</f>
        <v>0</v>
      </c>
      <c r="Q28" s="59" t="str">
        <f>IF(B27=$E$8,XIRR(I$24:I27,D$24:D27),"")</f>
        <v/>
      </c>
      <c r="R28" s="56" t="str">
        <f t="shared" si="13"/>
        <v/>
      </c>
      <c r="S28" s="56">
        <f t="shared" si="5"/>
        <v>24828.436720519658</v>
      </c>
      <c r="T28" s="21">
        <f t="shared" ca="1" si="6"/>
        <v>2025</v>
      </c>
      <c r="U28" s="21">
        <f t="shared" ca="1" si="7"/>
        <v>365</v>
      </c>
      <c r="V28" s="21">
        <f t="shared" ca="1" si="8"/>
        <v>10</v>
      </c>
      <c r="W28" s="60">
        <f t="shared" ca="1" si="9"/>
        <v>9</v>
      </c>
      <c r="X28" s="61">
        <f t="shared" ca="1" si="10"/>
        <v>22</v>
      </c>
    </row>
    <row r="29" spans="1:27" x14ac:dyDescent="0.25">
      <c r="A29" s="21">
        <v>4</v>
      </c>
      <c r="B29" s="58">
        <f t="shared" si="1"/>
        <v>5</v>
      </c>
      <c r="C29" s="55">
        <f t="shared" ca="1" si="11"/>
        <v>45790</v>
      </c>
      <c r="D29" s="55">
        <f t="shared" ca="1" si="3"/>
        <v>45787</v>
      </c>
      <c r="E29" s="58">
        <f t="shared" ca="1" si="4"/>
        <v>30</v>
      </c>
      <c r="F29" s="56">
        <f t="shared" si="12"/>
        <v>489080.390992378</v>
      </c>
      <c r="G29" s="56">
        <f>IF(B28=$E$8,SUM($G$24:G28),IF(B28&gt;$E$8+1,"",PPMT($E$11/12,A29,$E$8-1,-$F$25)))</f>
        <v>1934.8510598352154</v>
      </c>
      <c r="H29" s="56">
        <f>IF(B28=$E$8,SUM($H$24:H28),IF(B28&gt;$E$8,"",IPMT($E$11/12,A29,$E$8-1,-$F$25)))</f>
        <v>22893.585660684443</v>
      </c>
      <c r="I29" s="56">
        <f>IF(B28=$E$8,SUM($I$25:I28),IF(B28&gt;$E$8,"",G29+H29+P29))</f>
        <v>24828.436720519658</v>
      </c>
      <c r="J29" s="56" t="str">
        <f>IF(B29="",$J$24,"")</f>
        <v/>
      </c>
      <c r="K29" s="56" t="str">
        <f>IF(B29="",$K$24,"")</f>
        <v/>
      </c>
      <c r="L29" s="56" t="s">
        <v>144</v>
      </c>
      <c r="M29" s="56" t="str">
        <f>IF(B29="",$M$29,"")</f>
        <v/>
      </c>
      <c r="N29" s="56" t="s">
        <v>144</v>
      </c>
      <c r="O29" s="56" t="str">
        <f t="shared" ref="O29:O92" si="14">IF(B28=$E$8,$O$24,"")</f>
        <v/>
      </c>
      <c r="P29" s="56">
        <f>IF(B28=$E$8,SUM($P$25:P28),IF(B28&gt;$E$8," ",$O$5*$E$6))</f>
        <v>0</v>
      </c>
      <c r="Q29" s="59" t="str">
        <f>IF(B28=$E$8,XIRR(I$24:I28,D$24:D28),"")</f>
        <v/>
      </c>
      <c r="R29" s="56" t="str">
        <f t="shared" si="13"/>
        <v/>
      </c>
      <c r="S29" s="56">
        <f t="shared" si="5"/>
        <v>24828.436720519658</v>
      </c>
      <c r="T29" s="21">
        <f t="shared" ca="1" si="6"/>
        <v>2025</v>
      </c>
      <c r="U29" s="21">
        <f t="shared" ca="1" si="7"/>
        <v>365</v>
      </c>
      <c r="V29" s="21">
        <f t="shared" ca="1" si="8"/>
        <v>10</v>
      </c>
      <c r="W29" s="60">
        <f t="shared" ca="1" si="9"/>
        <v>9</v>
      </c>
      <c r="X29" s="61">
        <f t="shared" ca="1" si="10"/>
        <v>21</v>
      </c>
    </row>
    <row r="30" spans="1:27" x14ac:dyDescent="0.25">
      <c r="A30" s="21">
        <v>5</v>
      </c>
      <c r="B30" s="58">
        <f t="shared" si="1"/>
        <v>6</v>
      </c>
      <c r="C30" s="55">
        <f t="shared" ca="1" si="11"/>
        <v>45821</v>
      </c>
      <c r="D30" s="55">
        <f t="shared" ca="1" si="3"/>
        <v>45818</v>
      </c>
      <c r="E30" s="58">
        <f t="shared" ca="1" si="4"/>
        <v>31</v>
      </c>
      <c r="F30" s="56">
        <f t="shared" si="12"/>
        <v>487055.32750187797</v>
      </c>
      <c r="G30" s="56">
        <f>IF(B29=$E$8,SUM($G$24:G29),IF(B29&gt;$E$8+1,"",PPMT($E$11/12,A30,$E$8-1,-$F$25)))</f>
        <v>2025.0634905000325</v>
      </c>
      <c r="H30" s="56">
        <f>IF(B29=$E$8,SUM($H$24:H29),IF(B29&gt;$E$8,"",IPMT($E$11/12,A30,$E$8-1,-$F$25)))</f>
        <v>22803.373230019624</v>
      </c>
      <c r="I30" s="56">
        <f>IF(B29=$E$8,SUM($I$25:I29),IF(B29&gt;$E$8,"",G30+H30+P30))</f>
        <v>24828.436720519658</v>
      </c>
      <c r="J30" s="56" t="str">
        <f t="shared" ref="J30:J37" si="15">IF(B30="",$J$24,"")</f>
        <v/>
      </c>
      <c r="K30" s="56" t="str">
        <f t="shared" ref="K30:K36" si="16">IF(B30="",$K$24,"")</f>
        <v/>
      </c>
      <c r="L30" s="56" t="s">
        <v>144</v>
      </c>
      <c r="M30" s="56" t="str">
        <f>IF(B30="",$M$24,"")</f>
        <v/>
      </c>
      <c r="N30" s="56" t="str">
        <f t="shared" ref="N30:N93" si="17">IF(B29=$E$8,$N$24,"")</f>
        <v/>
      </c>
      <c r="O30" s="56" t="str">
        <f t="shared" si="14"/>
        <v/>
      </c>
      <c r="P30" s="56">
        <f>IF(B29=$E$8,SUM($P$25:P29),IF(B29&gt;$E$8," ",$O$5*$E$6))</f>
        <v>0</v>
      </c>
      <c r="Q30" s="59" t="str">
        <f>IF(B29=$E$8,XIRR(I$24:I29,D$24:D29),"")</f>
        <v/>
      </c>
      <c r="R30" s="56" t="str">
        <f t="shared" si="13"/>
        <v/>
      </c>
      <c r="S30" s="56">
        <f t="shared" si="5"/>
        <v>24828.436720519658</v>
      </c>
      <c r="T30" s="21">
        <f t="shared" ca="1" si="6"/>
        <v>2025</v>
      </c>
      <c r="U30" s="21">
        <f t="shared" ca="1" si="7"/>
        <v>365</v>
      </c>
      <c r="V30" s="21">
        <f t="shared" ca="1" si="8"/>
        <v>10</v>
      </c>
      <c r="W30" s="60">
        <f t="shared" ca="1" si="9"/>
        <v>9</v>
      </c>
      <c r="X30" s="61">
        <f t="shared" ca="1" si="10"/>
        <v>22</v>
      </c>
    </row>
    <row r="31" spans="1:27" x14ac:dyDescent="0.25">
      <c r="A31" s="21">
        <v>6</v>
      </c>
      <c r="B31" s="58">
        <f t="shared" si="1"/>
        <v>7</v>
      </c>
      <c r="C31" s="55">
        <f t="shared" ca="1" si="11"/>
        <v>45851</v>
      </c>
      <c r="D31" s="55">
        <f t="shared" ca="1" si="3"/>
        <v>45848</v>
      </c>
      <c r="E31" s="58">
        <f t="shared" ca="1" si="4"/>
        <v>30</v>
      </c>
      <c r="F31" s="56">
        <f t="shared" si="12"/>
        <v>484935.84542613337</v>
      </c>
      <c r="G31" s="56">
        <f>IF(B30=$E$8,SUM($G$24:G30),IF(B30&gt;$E$8+1,"",PPMT($E$11/12,A31,$E$8-1,-$F$25)))</f>
        <v>2119.4820757445964</v>
      </c>
      <c r="H31" s="56">
        <f>IF(B30=$E$8,SUM($H$24:H30),IF(B30&gt;$E$8,"",IPMT($E$11/12,A31,$E$8-1,-$F$25)))</f>
        <v>22708.954644775062</v>
      </c>
      <c r="I31" s="56">
        <f>IF(B30=$E$8,SUM($I$25:I30),IF(B30&gt;$E$8,"",G31+H31+P31))</f>
        <v>24828.436720519658</v>
      </c>
      <c r="J31" s="56" t="str">
        <f t="shared" si="15"/>
        <v/>
      </c>
      <c r="K31" s="56" t="str">
        <f t="shared" si="16"/>
        <v/>
      </c>
      <c r="L31" s="56" t="s">
        <v>144</v>
      </c>
      <c r="M31" s="56" t="str">
        <f t="shared" ref="M31:M37" si="18">IF(B31="",$M$24,"")</f>
        <v/>
      </c>
      <c r="N31" s="56" t="str">
        <f t="shared" si="17"/>
        <v/>
      </c>
      <c r="O31" s="56" t="str">
        <f t="shared" si="14"/>
        <v/>
      </c>
      <c r="P31" s="56">
        <f>IF(B30=$E$8,SUM($P$25:P30),IF(B30&gt;$E$8," ",$O$5*$E$6))</f>
        <v>0</v>
      </c>
      <c r="Q31" s="59" t="str">
        <f>IF(B30=$E$8,XIRR(I$24:I30,D$24:D30),"")</f>
        <v/>
      </c>
      <c r="R31" s="56" t="str">
        <f t="shared" si="13"/>
        <v/>
      </c>
      <c r="S31" s="56">
        <f t="shared" si="5"/>
        <v>24828.436720519658</v>
      </c>
      <c r="T31" s="21">
        <f t="shared" ca="1" si="6"/>
        <v>2025</v>
      </c>
      <c r="U31" s="21">
        <f t="shared" ca="1" si="7"/>
        <v>365</v>
      </c>
      <c r="V31" s="21">
        <f t="shared" ca="1" si="8"/>
        <v>10</v>
      </c>
      <c r="W31" s="60">
        <f t="shared" ca="1" si="9"/>
        <v>9</v>
      </c>
      <c r="X31" s="61">
        <f t="shared" ca="1" si="10"/>
        <v>21</v>
      </c>
    </row>
    <row r="32" spans="1:27" x14ac:dyDescent="0.25">
      <c r="A32" s="21">
        <v>7</v>
      </c>
      <c r="B32" s="58">
        <f t="shared" si="1"/>
        <v>8</v>
      </c>
      <c r="C32" s="55">
        <f t="shared" ca="1" si="11"/>
        <v>45882</v>
      </c>
      <c r="D32" s="55">
        <f t="shared" ca="1" si="3"/>
        <v>45879</v>
      </c>
      <c r="E32" s="58">
        <f t="shared" ca="1" si="4"/>
        <v>31</v>
      </c>
      <c r="F32" s="56">
        <f t="shared" si="12"/>
        <v>482717.54249860719</v>
      </c>
      <c r="G32" s="56">
        <f>IF(B31=$E$8,SUM($G$24:G31),IF(B31&gt;$E$8+1,"",PPMT($E$11/12,A32,$E$8-1,-$F$25)))</f>
        <v>2218.3029275261874</v>
      </c>
      <c r="H32" s="56">
        <f>IF(B31=$E$8,SUM($H$24:H31),IF(B31&gt;$E$8,"",IPMT($E$11/12,A32,$E$8-1,-$F$25)))</f>
        <v>22610.133792993471</v>
      </c>
      <c r="I32" s="56">
        <f>IF(B31=$E$8,SUM($I$25:I31),IF(B31&gt;$E$8,"",G32+H32+P32))</f>
        <v>24828.436720519658</v>
      </c>
      <c r="J32" s="56" t="str">
        <f t="shared" si="15"/>
        <v/>
      </c>
      <c r="K32" s="56" t="str">
        <f t="shared" si="16"/>
        <v/>
      </c>
      <c r="L32" s="56" t="s">
        <v>144</v>
      </c>
      <c r="M32" s="56" t="str">
        <f t="shared" si="18"/>
        <v/>
      </c>
      <c r="N32" s="56" t="str">
        <f t="shared" si="17"/>
        <v/>
      </c>
      <c r="O32" s="56" t="str">
        <f t="shared" si="14"/>
        <v/>
      </c>
      <c r="P32" s="56">
        <f>IF(B31=$E$8,SUM($P$25:P31),IF(B31&gt;$E$8," ",$O$5*$E$6))</f>
        <v>0</v>
      </c>
      <c r="Q32" s="59" t="str">
        <f>IF(B31=$E$8,XIRR(I$24:I31,D$24:D31),"")</f>
        <v/>
      </c>
      <c r="R32" s="56" t="str">
        <f t="shared" si="13"/>
        <v/>
      </c>
      <c r="S32" s="56">
        <f t="shared" si="5"/>
        <v>24828.436720519658</v>
      </c>
      <c r="T32" s="21">
        <f t="shared" ca="1" si="6"/>
        <v>2025</v>
      </c>
      <c r="U32" s="21">
        <f t="shared" ca="1" si="7"/>
        <v>365</v>
      </c>
      <c r="V32" s="21">
        <f t="shared" ca="1" si="8"/>
        <v>10</v>
      </c>
      <c r="W32" s="60">
        <f t="shared" ca="1" si="9"/>
        <v>9</v>
      </c>
      <c r="X32" s="61">
        <f t="shared" ca="1" si="10"/>
        <v>22</v>
      </c>
    </row>
    <row r="33" spans="1:24" x14ac:dyDescent="0.25">
      <c r="A33" s="21">
        <v>8</v>
      </c>
      <c r="B33" s="58">
        <f t="shared" si="1"/>
        <v>9</v>
      </c>
      <c r="C33" s="55">
        <f t="shared" ca="1" si="11"/>
        <v>45913</v>
      </c>
      <c r="D33" s="55">
        <f t="shared" ca="1" si="3"/>
        <v>45910</v>
      </c>
      <c r="E33" s="58">
        <f t="shared" ca="1" si="4"/>
        <v>31</v>
      </c>
      <c r="F33" s="56">
        <f t="shared" si="12"/>
        <v>480395.81119708507</v>
      </c>
      <c r="G33" s="56">
        <f>IF(B32=$E$8,SUM($G$24:G32),IF(B32&gt;$E$8+1,"",PPMT($E$11/12,A33,$E$8-1,-$F$25)))</f>
        <v>2321.7313015220957</v>
      </c>
      <c r="H33" s="56">
        <f>IF(B32=$E$8,SUM($H$24:H32),IF(B32&gt;$E$8,"",IPMT($E$11/12,A33,$E$8-1,-$F$25)))</f>
        <v>22506.705418997561</v>
      </c>
      <c r="I33" s="56">
        <f>IF(B32=$E$8,SUM($I$25:I32),IF(B32&gt;$E$8,"",G33+H33+P33))</f>
        <v>24828.436720519658</v>
      </c>
      <c r="J33" s="56" t="str">
        <f t="shared" si="15"/>
        <v/>
      </c>
      <c r="K33" s="56" t="str">
        <f t="shared" si="16"/>
        <v/>
      </c>
      <c r="L33" s="56" t="s">
        <v>144</v>
      </c>
      <c r="M33" s="56" t="str">
        <f t="shared" si="18"/>
        <v/>
      </c>
      <c r="N33" s="56" t="str">
        <f t="shared" si="17"/>
        <v/>
      </c>
      <c r="O33" s="56" t="str">
        <f t="shared" si="14"/>
        <v/>
      </c>
      <c r="P33" s="56">
        <f>IF(B32=$E$8,SUM($P$25:P32),IF(B32&gt;$E$8," ",$O$5*$E$6))</f>
        <v>0</v>
      </c>
      <c r="Q33" s="59" t="str">
        <f>IF(B32=$E$8,XIRR(I$24:I32,D$24:D32),"")</f>
        <v/>
      </c>
      <c r="R33" s="56" t="str">
        <f t="shared" si="13"/>
        <v/>
      </c>
      <c r="S33" s="56">
        <f t="shared" si="5"/>
        <v>24828.436720519658</v>
      </c>
      <c r="T33" s="21">
        <f t="shared" ca="1" si="6"/>
        <v>2025</v>
      </c>
      <c r="U33" s="21">
        <f t="shared" ca="1" si="7"/>
        <v>365</v>
      </c>
      <c r="V33" s="21">
        <f t="shared" ca="1" si="8"/>
        <v>10</v>
      </c>
      <c r="W33" s="60">
        <f t="shared" ca="1" si="9"/>
        <v>9</v>
      </c>
      <c r="X33" s="61">
        <f t="shared" ca="1" si="10"/>
        <v>22</v>
      </c>
    </row>
    <row r="34" spans="1:24" x14ac:dyDescent="0.25">
      <c r="A34" s="21">
        <v>9</v>
      </c>
      <c r="B34" s="58">
        <f t="shared" si="1"/>
        <v>10</v>
      </c>
      <c r="C34" s="55">
        <f t="shared" ca="1" si="11"/>
        <v>45943</v>
      </c>
      <c r="D34" s="55">
        <f t="shared" ca="1" si="3"/>
        <v>45940</v>
      </c>
      <c r="E34" s="58">
        <f t="shared" ca="1" si="4"/>
        <v>30</v>
      </c>
      <c r="F34" s="56">
        <f t="shared" si="12"/>
        <v>477965.82917362952</v>
      </c>
      <c r="G34" s="56">
        <f>IF(B33=$E$8,SUM($G$24:G33),IF(B33&gt;$E$8+1,"",PPMT($E$11/12,A34,$E$8-1,-$F$25)))</f>
        <v>2429.9820234555636</v>
      </c>
      <c r="H34" s="56">
        <f>IF(B33=$E$8,SUM($H$24:H33),IF(B33&gt;$E$8,"",IPMT($E$11/12,A34,$E$8-1,-$F$25)))</f>
        <v>22398.454697064095</v>
      </c>
      <c r="I34" s="56">
        <f>IF(B33=$E$8,SUM($I$25:I33),IF(B33&gt;$E$8,"",G34+H34+P34))</f>
        <v>24828.436720519658</v>
      </c>
      <c r="J34" s="56" t="str">
        <f t="shared" si="15"/>
        <v/>
      </c>
      <c r="K34" s="56" t="str">
        <f t="shared" si="16"/>
        <v/>
      </c>
      <c r="L34" s="56" t="s">
        <v>144</v>
      </c>
      <c r="M34" s="56" t="str">
        <f t="shared" si="18"/>
        <v/>
      </c>
      <c r="N34" s="56" t="str">
        <f t="shared" si="17"/>
        <v/>
      </c>
      <c r="O34" s="56" t="str">
        <f t="shared" si="14"/>
        <v/>
      </c>
      <c r="P34" s="56">
        <f>IF(B33=$E$8,SUM($P$25:P33),IF(B33&gt;$E$8," ",$O$5*$E$6))</f>
        <v>0</v>
      </c>
      <c r="Q34" s="59" t="str">
        <f>IF(B33=$E$8,XIRR(I$24:I33,D$24:D33),"")</f>
        <v/>
      </c>
      <c r="R34" s="56" t="str">
        <f t="shared" si="13"/>
        <v/>
      </c>
      <c r="S34" s="56">
        <f t="shared" si="5"/>
        <v>24828.436720519658</v>
      </c>
      <c r="T34" s="21">
        <f t="shared" ca="1" si="6"/>
        <v>2025</v>
      </c>
      <c r="U34" s="21">
        <f t="shared" ca="1" si="7"/>
        <v>365</v>
      </c>
      <c r="V34" s="21">
        <f t="shared" ca="1" si="8"/>
        <v>10</v>
      </c>
      <c r="W34" s="60">
        <f t="shared" ca="1" si="9"/>
        <v>9</v>
      </c>
      <c r="X34" s="61">
        <f t="shared" ca="1" si="10"/>
        <v>21</v>
      </c>
    </row>
    <row r="35" spans="1:24" x14ac:dyDescent="0.25">
      <c r="A35" s="21">
        <v>10</v>
      </c>
      <c r="B35" s="58">
        <f t="shared" si="1"/>
        <v>11</v>
      </c>
      <c r="C35" s="55">
        <f t="shared" ca="1" si="11"/>
        <v>45974</v>
      </c>
      <c r="D35" s="55">
        <f t="shared" ca="1" si="3"/>
        <v>45971</v>
      </c>
      <c r="E35" s="58">
        <f t="shared" ca="1" si="4"/>
        <v>31</v>
      </c>
      <c r="F35" s="56">
        <f t="shared" si="12"/>
        <v>475422.54923833034</v>
      </c>
      <c r="G35" s="56">
        <f>IF(B34=$E$8,SUM($G$24:G34),IF(B34&gt;$E$8+1,"",PPMT($E$11/12,A35,$E$8-1,-$F$25)))</f>
        <v>2543.2799352991797</v>
      </c>
      <c r="H35" s="56">
        <f>IF(B34=$E$8,SUM($H$24:H34),IF(B34&gt;$E$8,"",IPMT($E$11/12,A35,$E$8-1,-$F$25)))</f>
        <v>22285.156785220479</v>
      </c>
      <c r="I35" s="56">
        <f>IF(B34=$E$8,SUM($I$25:I34),IF(B34&gt;$E$8,"",G35+H35+P35))</f>
        <v>24828.436720519658</v>
      </c>
      <c r="J35" s="56" t="str">
        <f t="shared" si="15"/>
        <v/>
      </c>
      <c r="K35" s="56" t="str">
        <f t="shared" si="16"/>
        <v/>
      </c>
      <c r="L35" s="56" t="s">
        <v>144</v>
      </c>
      <c r="M35" s="56" t="str">
        <f t="shared" si="18"/>
        <v/>
      </c>
      <c r="N35" s="56" t="str">
        <f t="shared" si="17"/>
        <v/>
      </c>
      <c r="O35" s="56" t="str">
        <f t="shared" si="14"/>
        <v/>
      </c>
      <c r="P35" s="56">
        <f>IF(B34=$E$8,SUM($P$25:P34),IF(B34&gt;$E$8," ",$O$5*$E$6))</f>
        <v>0</v>
      </c>
      <c r="Q35" s="59" t="str">
        <f>IF(B34=$E$8,XIRR(I$24:I34,D$24:D34),"")</f>
        <v/>
      </c>
      <c r="R35" s="56" t="str">
        <f t="shared" si="13"/>
        <v/>
      </c>
      <c r="S35" s="56">
        <f t="shared" si="5"/>
        <v>24828.436720519658</v>
      </c>
      <c r="T35" s="21">
        <f t="shared" ca="1" si="6"/>
        <v>2025</v>
      </c>
      <c r="U35" s="21">
        <f t="shared" ca="1" si="7"/>
        <v>365</v>
      </c>
      <c r="V35" s="21">
        <f t="shared" ca="1" si="8"/>
        <v>10</v>
      </c>
      <c r="W35" s="60">
        <f t="shared" ca="1" si="9"/>
        <v>9</v>
      </c>
      <c r="X35" s="61">
        <f t="shared" ca="1" si="10"/>
        <v>22</v>
      </c>
    </row>
    <row r="36" spans="1:24" x14ac:dyDescent="0.25">
      <c r="A36" s="21">
        <v>11</v>
      </c>
      <c r="B36" s="58">
        <f t="shared" si="1"/>
        <v>12</v>
      </c>
      <c r="C36" s="55">
        <f t="shared" ca="1" si="11"/>
        <v>46004</v>
      </c>
      <c r="D36" s="55">
        <f t="shared" ca="1" si="3"/>
        <v>46001</v>
      </c>
      <c r="E36" s="58">
        <f t="shared" ca="1" si="4"/>
        <v>30</v>
      </c>
      <c r="F36" s="56">
        <f t="shared" si="12"/>
        <v>472760.68887604785</v>
      </c>
      <c r="G36" s="56">
        <f>IF(B35=$E$8,SUM($G$24:G35),IF(B35&gt;$E$8+1,"",PPMT($E$11/12,A36,$E$8-1,-$F$25)))</f>
        <v>2661.860362282504</v>
      </c>
      <c r="H36" s="56">
        <f>IF(B35=$E$8,SUM($H$24:H35),IF(B35&gt;$E$8,"",IPMT($E$11/12,A36,$E$8-1,-$F$25)))</f>
        <v>22166.576358237155</v>
      </c>
      <c r="I36" s="56">
        <f>IF(B35=$E$8,SUM($I$25:I35),IF(B35&gt;$E$8,"",G36+H36+P36))</f>
        <v>24828.436720519658</v>
      </c>
      <c r="J36" s="56" t="str">
        <f t="shared" si="15"/>
        <v/>
      </c>
      <c r="K36" s="56" t="str">
        <f t="shared" si="16"/>
        <v/>
      </c>
      <c r="L36" s="56" t="s">
        <v>144</v>
      </c>
      <c r="M36" s="56" t="str">
        <f t="shared" si="18"/>
        <v/>
      </c>
      <c r="N36" s="56" t="str">
        <f t="shared" si="17"/>
        <v/>
      </c>
      <c r="O36" s="56" t="str">
        <f t="shared" si="14"/>
        <v/>
      </c>
      <c r="P36" s="56">
        <f>IF(B35=$E$8,SUM($P$25:P35),IF(B35&gt;$E$8," ",$O$5*$E$6))</f>
        <v>0</v>
      </c>
      <c r="Q36" s="59" t="str">
        <f>IF(B35=$E$8,XIRR(I$24:I35,D$24:D35),"")</f>
        <v/>
      </c>
      <c r="R36" s="56" t="str">
        <f t="shared" si="13"/>
        <v/>
      </c>
      <c r="S36" s="56">
        <f t="shared" si="5"/>
        <v>24828.436720519658</v>
      </c>
      <c r="T36" s="21">
        <f t="shared" ca="1" si="6"/>
        <v>2025</v>
      </c>
      <c r="U36" s="21">
        <f t="shared" ca="1" si="7"/>
        <v>365</v>
      </c>
      <c r="V36" s="21">
        <f t="shared" ca="1" si="8"/>
        <v>10</v>
      </c>
      <c r="W36" s="60">
        <f t="shared" ca="1" si="9"/>
        <v>9</v>
      </c>
      <c r="X36" s="61">
        <f t="shared" ca="1" si="10"/>
        <v>21</v>
      </c>
    </row>
    <row r="37" spans="1:24" x14ac:dyDescent="0.25">
      <c r="A37" s="21">
        <v>12</v>
      </c>
      <c r="B37" s="58">
        <f t="shared" si="1"/>
        <v>13</v>
      </c>
      <c r="C37" s="55">
        <f ca="1">IF(B37="","",EDATE($C$24,B37))</f>
        <v>46035</v>
      </c>
      <c r="D37" s="55">
        <f t="shared" ca="1" si="3"/>
        <v>46032</v>
      </c>
      <c r="E37" s="58">
        <f t="shared" ca="1" si="4"/>
        <v>31</v>
      </c>
      <c r="F37" s="56">
        <f t="shared" ref="F37:F100" si="19">IF(B37&gt;$E$8,"",F36-G37)</f>
        <v>469974.7192743739</v>
      </c>
      <c r="G37" s="56">
        <f>IF(B36=$E$8,SUM($G$24:G36),IF(B36&gt;$E$8+1,"",PPMT($E$11/12,A37,$E$8-1,-$F$25)))</f>
        <v>2785.9696016739254</v>
      </c>
      <c r="H37" s="56">
        <f>IF(B36=$E$8,SUM($H$24:H36),IF(B36&gt;$E$8,"",IPMT($E$11/12,A37,$E$8-1,-$F$25)))</f>
        <v>22042.467118845732</v>
      </c>
      <c r="I37" s="56">
        <f>IF(B36=$E$8,SUM($I$25:I36),IF(B36&gt;$E$8,"",G37+H37+P37))</f>
        <v>24828.436720519658</v>
      </c>
      <c r="J37" s="56" t="str">
        <f t="shared" si="15"/>
        <v/>
      </c>
      <c r="K37" s="56">
        <f>IF($E$8&gt;B36,$O$9,IF(B36=12,$K$24,SUM($K$24:K36)))</f>
        <v>0</v>
      </c>
      <c r="L37" s="56">
        <f>IF(E8&gt;12,(P8+$O$10*F36),IF($B$36=$E$8,L24,""))</f>
        <v>0</v>
      </c>
      <c r="M37" s="56" t="str">
        <f t="shared" si="18"/>
        <v/>
      </c>
      <c r="N37" s="56" t="str">
        <f t="shared" si="17"/>
        <v/>
      </c>
      <c r="O37" s="56" t="str">
        <f t="shared" si="14"/>
        <v/>
      </c>
      <c r="P37" s="56">
        <f>IF(B36=$E$8,SUM($P$25:P36),IF(B36&gt;$E$8," ",$O$5*$E$6))</f>
        <v>0</v>
      </c>
      <c r="Q37" s="59" t="str">
        <f>IF(B36=$E$8,XIRR(I$24:I36,D$24:D36),"")</f>
        <v/>
      </c>
      <c r="R37" s="56" t="str">
        <f t="shared" si="13"/>
        <v/>
      </c>
      <c r="S37" s="56">
        <f t="shared" si="5"/>
        <v>24828.436720519658</v>
      </c>
      <c r="T37" s="21">
        <f t="shared" ca="1" si="6"/>
        <v>2026</v>
      </c>
      <c r="U37" s="21">
        <f t="shared" ca="1" si="7"/>
        <v>365</v>
      </c>
      <c r="V37" s="21">
        <f t="shared" ca="1" si="8"/>
        <v>10</v>
      </c>
      <c r="W37" s="60">
        <f t="shared" ca="1" si="9"/>
        <v>9</v>
      </c>
      <c r="X37" s="61">
        <f t="shared" ca="1" si="10"/>
        <v>22</v>
      </c>
    </row>
    <row r="38" spans="1:24" x14ac:dyDescent="0.25">
      <c r="A38" s="21">
        <v>13</v>
      </c>
      <c r="B38" s="58">
        <f t="shared" si="1"/>
        <v>14</v>
      </c>
      <c r="C38" s="55">
        <f t="shared" ref="C38:C101" ca="1" si="20">IF(B38="","",EDATE($C$24,B38))</f>
        <v>46066</v>
      </c>
      <c r="D38" s="55">
        <f t="shared" ca="1" si="3"/>
        <v>46063</v>
      </c>
      <c r="E38" s="58">
        <f t="shared" ca="1" si="4"/>
        <v>31</v>
      </c>
      <c r="F38" s="56">
        <f t="shared" si="19"/>
        <v>467058.85384002194</v>
      </c>
      <c r="G38" s="56">
        <f>IF(B37=$E$8,SUM($G$24:G37),IF(B37&gt;$E$8+1,"",PPMT($E$11/12,A38,$E$8-1,-$F$25)))</f>
        <v>2915.8654343519725</v>
      </c>
      <c r="H38" s="56">
        <f>IF(B37=$E$8,SUM($H$24:H37),IF(B37&gt;$E$8,"",IPMT($E$11/12,A38,$E$8-1,-$F$25)))</f>
        <v>21912.571286167684</v>
      </c>
      <c r="I38" s="56">
        <f>IF(B37=$E$8,SUM($I$25:I37),IF(B37&gt;$E$8,"",G38+H38+P38))</f>
        <v>24828.436720519658</v>
      </c>
      <c r="J38" s="56" t="str">
        <f t="shared" ref="J38:J101" si="21">IF(B37=$E$8,$J$24,"")</f>
        <v/>
      </c>
      <c r="K38" s="56" t="str">
        <f t="shared" ref="K38:K84" si="22">IF(B37=$E$8,$K$24,"")</f>
        <v/>
      </c>
      <c r="L38" s="56" t="s">
        <v>144</v>
      </c>
      <c r="M38" s="56" t="str">
        <f t="shared" ref="M38:M101" si="23">IF(B37=$E$8,$M$24,"")</f>
        <v/>
      </c>
      <c r="N38" s="56" t="str">
        <f t="shared" si="17"/>
        <v/>
      </c>
      <c r="O38" s="56" t="str">
        <f t="shared" si="14"/>
        <v/>
      </c>
      <c r="P38" s="56">
        <f>IF(B37=$E$8,SUM($P$25:P37),IF(B37&gt;$E$8," ",$O$5*$E$6))</f>
        <v>0</v>
      </c>
      <c r="Q38" s="59" t="str">
        <f>IF(B37=$E$8,XIRR(I$24:I37,D$24:D37),"")</f>
        <v/>
      </c>
      <c r="R38" s="56" t="str">
        <f t="shared" si="13"/>
        <v/>
      </c>
      <c r="S38" s="56">
        <f t="shared" si="5"/>
        <v>24828.436720519658</v>
      </c>
      <c r="T38" s="21">
        <f t="shared" ca="1" si="6"/>
        <v>2026</v>
      </c>
      <c r="U38" s="21">
        <f t="shared" ca="1" si="7"/>
        <v>365</v>
      </c>
      <c r="V38" s="21">
        <f t="shared" ca="1" si="8"/>
        <v>10</v>
      </c>
      <c r="W38" s="60">
        <f t="shared" ca="1" si="9"/>
        <v>9</v>
      </c>
      <c r="X38" s="61">
        <f t="shared" ca="1" si="10"/>
        <v>22</v>
      </c>
    </row>
    <row r="39" spans="1:24" x14ac:dyDescent="0.25">
      <c r="A39" s="21">
        <v>14</v>
      </c>
      <c r="B39" s="58">
        <f t="shared" si="1"/>
        <v>15</v>
      </c>
      <c r="C39" s="55">
        <f t="shared" ca="1" si="20"/>
        <v>46094</v>
      </c>
      <c r="D39" s="55">
        <f t="shared" ca="1" si="3"/>
        <v>46091</v>
      </c>
      <c r="E39" s="58">
        <f t="shared" ca="1" si="4"/>
        <v>28</v>
      </c>
      <c r="F39" s="56">
        <f t="shared" si="19"/>
        <v>464007.0361797933</v>
      </c>
      <c r="G39" s="56">
        <f>IF(B38=$E$8,SUM($G$24:G38),IF(B38&gt;$E$8+1,"",PPMT($E$11/12,A39,$E$8-1,-$F$25)))</f>
        <v>3051.817660228633</v>
      </c>
      <c r="H39" s="56">
        <f>IF(B38=$E$8,SUM($H$24:H38),IF(B38&gt;$E$8,"",IPMT($E$11/12,A39,$E$8-1,-$F$25)))</f>
        <v>21776.619060291025</v>
      </c>
      <c r="I39" s="56">
        <f>IF(B38=$E$8,SUM($I$25:I38),IF(B38&gt;$E$8,"",G39+H39+P39))</f>
        <v>24828.436720519658</v>
      </c>
      <c r="J39" s="56" t="str">
        <f t="shared" si="21"/>
        <v/>
      </c>
      <c r="K39" s="56" t="str">
        <f t="shared" si="22"/>
        <v/>
      </c>
      <c r="L39" s="56" t="s">
        <v>144</v>
      </c>
      <c r="M39" s="56" t="str">
        <f t="shared" si="23"/>
        <v/>
      </c>
      <c r="N39" s="56" t="str">
        <f t="shared" si="17"/>
        <v/>
      </c>
      <c r="O39" s="56" t="str">
        <f t="shared" si="14"/>
        <v/>
      </c>
      <c r="P39" s="56">
        <f>IF(B38=$E$8,SUM($P$25:P38),IF(B38&gt;$E$8," ",$O$5*$E$6))</f>
        <v>0</v>
      </c>
      <c r="Q39" s="59" t="str">
        <f>IF(B38=$E$8,XIRR(I$24:I38,D$24:D38),"")</f>
        <v/>
      </c>
      <c r="R39" s="56" t="str">
        <f t="shared" si="13"/>
        <v/>
      </c>
      <c r="S39" s="56">
        <f t="shared" si="5"/>
        <v>24828.436720519658</v>
      </c>
      <c r="T39" s="21">
        <f t="shared" ca="1" si="6"/>
        <v>2026</v>
      </c>
      <c r="U39" s="21">
        <f t="shared" ca="1" si="7"/>
        <v>365</v>
      </c>
      <c r="V39" s="21">
        <f t="shared" ca="1" si="8"/>
        <v>10</v>
      </c>
      <c r="W39" s="60">
        <f t="shared" ca="1" si="9"/>
        <v>9</v>
      </c>
      <c r="X39" s="61">
        <f t="shared" ca="1" si="10"/>
        <v>19</v>
      </c>
    </row>
    <row r="40" spans="1:24" x14ac:dyDescent="0.25">
      <c r="A40" s="21">
        <v>15</v>
      </c>
      <c r="B40" s="58">
        <f t="shared" si="1"/>
        <v>16</v>
      </c>
      <c r="C40" s="55">
        <f t="shared" ca="1" si="20"/>
        <v>46125</v>
      </c>
      <c r="D40" s="55">
        <f t="shared" ca="1" si="3"/>
        <v>46122</v>
      </c>
      <c r="E40" s="58">
        <f t="shared" ca="1" si="4"/>
        <v>31</v>
      </c>
      <c r="F40" s="56">
        <f t="shared" si="19"/>
        <v>460812.9275211565</v>
      </c>
      <c r="G40" s="56">
        <f>IF(B39=$E$8,SUM($G$24:G39),IF(B39&gt;$E$8+1,"",PPMT($E$11/12,A40,$E$8-1,-$F$25)))</f>
        <v>3194.1086586367933</v>
      </c>
      <c r="H40" s="56">
        <f>IF(B39=$E$8,SUM($H$24:H39),IF(B39&gt;$E$8,"",IPMT($E$11/12,A40,$E$8-1,-$F$25)))</f>
        <v>21634.328061882861</v>
      </c>
      <c r="I40" s="56">
        <f>IF(B39=$E$8,SUM($I$25:I39),IF(B39&gt;$E$8,"",G40+H40+P40))</f>
        <v>24828.436720519654</v>
      </c>
      <c r="J40" s="56" t="str">
        <f t="shared" si="21"/>
        <v/>
      </c>
      <c r="K40" s="56" t="str">
        <f t="shared" si="22"/>
        <v/>
      </c>
      <c r="L40" s="56" t="s">
        <v>144</v>
      </c>
      <c r="M40" s="56" t="str">
        <f t="shared" si="23"/>
        <v/>
      </c>
      <c r="N40" s="56" t="str">
        <f t="shared" si="17"/>
        <v/>
      </c>
      <c r="O40" s="56" t="str">
        <f t="shared" si="14"/>
        <v/>
      </c>
      <c r="P40" s="56">
        <f>IF(B39=$E$8,SUM($P$25:P39),IF(B39&gt;$E$8," ",$O$5*$E$6))</f>
        <v>0</v>
      </c>
      <c r="Q40" s="59" t="str">
        <f>IF(B39=$E$8,XIRR(I$24:I39,D$24:D39),"")</f>
        <v/>
      </c>
      <c r="R40" s="56" t="str">
        <f t="shared" si="13"/>
        <v/>
      </c>
      <c r="S40" s="56">
        <f t="shared" si="5"/>
        <v>24828.436720519654</v>
      </c>
      <c r="T40" s="21">
        <f t="shared" ca="1" si="6"/>
        <v>2026</v>
      </c>
      <c r="U40" s="21">
        <f t="shared" ca="1" si="7"/>
        <v>365</v>
      </c>
      <c r="V40" s="21">
        <f t="shared" ca="1" si="8"/>
        <v>10</v>
      </c>
      <c r="W40" s="60">
        <f t="shared" ca="1" si="9"/>
        <v>9</v>
      </c>
      <c r="X40" s="61">
        <f t="shared" ca="1" si="10"/>
        <v>22</v>
      </c>
    </row>
    <row r="41" spans="1:24" x14ac:dyDescent="0.25">
      <c r="A41" s="21">
        <v>16</v>
      </c>
      <c r="B41" s="58">
        <f t="shared" si="1"/>
        <v>17</v>
      </c>
      <c r="C41" s="55">
        <f t="shared" ca="1" si="20"/>
        <v>46155</v>
      </c>
      <c r="D41" s="55">
        <f t="shared" ca="1" si="3"/>
        <v>46152</v>
      </c>
      <c r="E41" s="58">
        <f t="shared" ca="1" si="4"/>
        <v>30</v>
      </c>
      <c r="F41" s="56">
        <f t="shared" si="19"/>
        <v>457469.89354631078</v>
      </c>
      <c r="G41" s="56">
        <f>IF(B40=$E$8,SUM($G$24:G40),IF(B40&gt;$E$8+1,"",PPMT($E$11/12,A41,$E$8-1,-$F$25)))</f>
        <v>3343.0339748457345</v>
      </c>
      <c r="H41" s="56">
        <f>IF(B40=$E$8,SUM($H$24:H40),IF(B40&gt;$E$8,"",IPMT($E$11/12,A41,$E$8-1,-$F$25)))</f>
        <v>21485.402745673924</v>
      </c>
      <c r="I41" s="56">
        <f>IF(B40=$E$8,SUM($I$25:I40),IF(B40&gt;$E$8,"",G41+H41+P41))</f>
        <v>24828.436720519658</v>
      </c>
      <c r="J41" s="56" t="str">
        <f t="shared" si="21"/>
        <v/>
      </c>
      <c r="K41" s="56" t="str">
        <f t="shared" si="22"/>
        <v/>
      </c>
      <c r="L41" s="56" t="s">
        <v>144</v>
      </c>
      <c r="M41" s="56" t="str">
        <f t="shared" si="23"/>
        <v/>
      </c>
      <c r="N41" s="56" t="str">
        <f t="shared" si="17"/>
        <v/>
      </c>
      <c r="O41" s="56" t="str">
        <f t="shared" si="14"/>
        <v/>
      </c>
      <c r="P41" s="56">
        <f>IF(B40=$E$8,SUM($P$25:P40),IF(B40&gt;$E$8," ",$O$5*$E$6))</f>
        <v>0</v>
      </c>
      <c r="Q41" s="59" t="str">
        <f>IF(B40=$E$8,XIRR(I$24:I40,D$24:D40),"")</f>
        <v/>
      </c>
      <c r="R41" s="56" t="str">
        <f t="shared" si="13"/>
        <v/>
      </c>
      <c r="S41" s="56">
        <f t="shared" si="5"/>
        <v>24828.436720519658</v>
      </c>
      <c r="T41" s="21">
        <f t="shared" ca="1" si="6"/>
        <v>2026</v>
      </c>
      <c r="U41" s="21">
        <f t="shared" ca="1" si="7"/>
        <v>365</v>
      </c>
      <c r="V41" s="21">
        <f t="shared" ca="1" si="8"/>
        <v>10</v>
      </c>
      <c r="W41" s="60">
        <f t="shared" ca="1" si="9"/>
        <v>9</v>
      </c>
      <c r="X41" s="61">
        <f t="shared" ca="1" si="10"/>
        <v>21</v>
      </c>
    </row>
    <row r="42" spans="1:24" x14ac:dyDescent="0.25">
      <c r="A42" s="21">
        <v>17</v>
      </c>
      <c r="B42" s="58">
        <f t="shared" si="1"/>
        <v>18</v>
      </c>
      <c r="C42" s="55">
        <f t="shared" ca="1" si="20"/>
        <v>46186</v>
      </c>
      <c r="D42" s="55">
        <f t="shared" ca="1" si="3"/>
        <v>46183</v>
      </c>
      <c r="E42" s="58">
        <f t="shared" ca="1" si="4"/>
        <v>31</v>
      </c>
      <c r="F42" s="56">
        <f t="shared" si="19"/>
        <v>453970.99061238783</v>
      </c>
      <c r="G42" s="56">
        <f>IF(B41=$E$8,SUM($G$24:G41),IF(B41&gt;$E$8+1,"",PPMT($E$11/12,A42,$E$8-1,-$F$25)))</f>
        <v>3498.9029339229169</v>
      </c>
      <c r="H42" s="56">
        <f>IF(B41=$E$8,SUM($H$24:H41),IF(B41&gt;$E$8,"",IPMT($E$11/12,A42,$E$8-1,-$F$25)))</f>
        <v>21329.533786596741</v>
      </c>
      <c r="I42" s="56">
        <f>IF(B41=$E$8,SUM($I$25:I41),IF(B41&gt;$E$8,"",G42+H42+P42))</f>
        <v>24828.436720519658</v>
      </c>
      <c r="J42" s="56" t="str">
        <f t="shared" si="21"/>
        <v/>
      </c>
      <c r="K42" s="56" t="str">
        <f t="shared" si="22"/>
        <v/>
      </c>
      <c r="L42" s="56" t="s">
        <v>144</v>
      </c>
      <c r="M42" s="56" t="str">
        <f t="shared" si="23"/>
        <v/>
      </c>
      <c r="N42" s="56" t="str">
        <f t="shared" si="17"/>
        <v/>
      </c>
      <c r="O42" s="56" t="str">
        <f t="shared" si="14"/>
        <v/>
      </c>
      <c r="P42" s="56">
        <f>IF(B41=$E$8,SUM($P$25:P41),IF(B41&gt;$E$8," ",$O$5*$E$6))</f>
        <v>0</v>
      </c>
      <c r="Q42" s="59" t="str">
        <f>IF(B41=$E$8,XIRR(I$24:I41,D$24:D41),"")</f>
        <v/>
      </c>
      <c r="R42" s="56" t="str">
        <f t="shared" si="13"/>
        <v/>
      </c>
      <c r="S42" s="56">
        <f t="shared" si="5"/>
        <v>24828.436720519658</v>
      </c>
      <c r="T42" s="21">
        <f t="shared" ca="1" si="6"/>
        <v>2026</v>
      </c>
      <c r="U42" s="21">
        <f t="shared" ca="1" si="7"/>
        <v>365</v>
      </c>
      <c r="V42" s="21">
        <f t="shared" ca="1" si="8"/>
        <v>10</v>
      </c>
      <c r="W42" s="60">
        <f t="shared" ca="1" si="9"/>
        <v>9</v>
      </c>
      <c r="X42" s="61">
        <f t="shared" ca="1" si="10"/>
        <v>22</v>
      </c>
    </row>
    <row r="43" spans="1:24" x14ac:dyDescent="0.25">
      <c r="A43" s="21">
        <v>18</v>
      </c>
      <c r="B43" s="58">
        <f t="shared" si="1"/>
        <v>19</v>
      </c>
      <c r="C43" s="55">
        <f t="shared" ca="1" si="20"/>
        <v>46216</v>
      </c>
      <c r="D43" s="55">
        <f t="shared" ca="1" si="3"/>
        <v>46213</v>
      </c>
      <c r="E43" s="58">
        <f t="shared" ca="1" si="4"/>
        <v>30</v>
      </c>
      <c r="F43" s="56">
        <f t="shared" si="19"/>
        <v>450308.95132917078</v>
      </c>
      <c r="G43" s="56">
        <f>IF(B42=$E$8,SUM($G$24:G42),IF(B42&gt;$E$8+1,"",PPMT($E$11/12,A43,$E$8-1,-$F$25)))</f>
        <v>3662.0392832170728</v>
      </c>
      <c r="H43" s="56">
        <f>IF(B42=$E$8,SUM($H$24:H42),IF(B42&gt;$E$8,"",IPMT($E$11/12,A43,$E$8-1,-$F$25)))</f>
        <v>21166.397437302585</v>
      </c>
      <c r="I43" s="56">
        <f>IF(B42=$E$8,SUM($I$25:I42),IF(B42&gt;$E$8,"",G43+H43+P43))</f>
        <v>24828.436720519658</v>
      </c>
      <c r="J43" s="56" t="str">
        <f t="shared" si="21"/>
        <v/>
      </c>
      <c r="K43" s="56" t="str">
        <f t="shared" si="22"/>
        <v/>
      </c>
      <c r="L43" s="56" t="s">
        <v>144</v>
      </c>
      <c r="M43" s="56" t="str">
        <f t="shared" si="23"/>
        <v/>
      </c>
      <c r="N43" s="56" t="str">
        <f t="shared" si="17"/>
        <v/>
      </c>
      <c r="O43" s="56" t="str">
        <f t="shared" si="14"/>
        <v/>
      </c>
      <c r="P43" s="56">
        <f>IF(B42=$E$8,SUM($P$25:P42),IF(B42&gt;$E$8," ",$O$5*$E$6))</f>
        <v>0</v>
      </c>
      <c r="Q43" s="59" t="str">
        <f>IF(B42=$E$8,XIRR(I$24:I42,D$24:D42),"")</f>
        <v/>
      </c>
      <c r="R43" s="56" t="str">
        <f t="shared" si="13"/>
        <v/>
      </c>
      <c r="S43" s="56">
        <f t="shared" si="5"/>
        <v>24828.436720519658</v>
      </c>
      <c r="T43" s="21">
        <f t="shared" ca="1" si="6"/>
        <v>2026</v>
      </c>
      <c r="U43" s="21">
        <f t="shared" ca="1" si="7"/>
        <v>365</v>
      </c>
      <c r="V43" s="21">
        <f t="shared" ca="1" si="8"/>
        <v>10</v>
      </c>
      <c r="W43" s="60">
        <f t="shared" ca="1" si="9"/>
        <v>9</v>
      </c>
      <c r="X43" s="61">
        <f t="shared" ca="1" si="10"/>
        <v>21</v>
      </c>
    </row>
    <row r="44" spans="1:24" x14ac:dyDescent="0.25">
      <c r="A44" s="21">
        <v>19</v>
      </c>
      <c r="B44" s="58">
        <f t="shared" si="1"/>
        <v>20</v>
      </c>
      <c r="C44" s="55">
        <f t="shared" ca="1" si="20"/>
        <v>46247</v>
      </c>
      <c r="D44" s="55">
        <f t="shared" ca="1" si="3"/>
        <v>46244</v>
      </c>
      <c r="E44" s="58">
        <f t="shared" ca="1" si="4"/>
        <v>31</v>
      </c>
      <c r="F44" s="56">
        <f t="shared" si="19"/>
        <v>446476.16946437373</v>
      </c>
      <c r="G44" s="56">
        <f>IF(B43=$E$8,SUM($G$24:G43),IF(B43&gt;$E$8+1,"",PPMT($E$11/12,A44,$E$8-1,-$F$25)))</f>
        <v>3832.781864797068</v>
      </c>
      <c r="H44" s="56">
        <f>IF(B43=$E$8,SUM($H$24:H43),IF(B43&gt;$E$8,"",IPMT($E$11/12,A44,$E$8-1,-$F$25)))</f>
        <v>20995.654855722591</v>
      </c>
      <c r="I44" s="56">
        <f>IF(B43=$E$8,SUM($I$25:I43),IF(B43&gt;$E$8,"",G44+H44+P44))</f>
        <v>24828.436720519658</v>
      </c>
      <c r="J44" s="56" t="str">
        <f t="shared" si="21"/>
        <v/>
      </c>
      <c r="K44" s="56" t="str">
        <f t="shared" si="22"/>
        <v/>
      </c>
      <c r="L44" s="56" t="s">
        <v>144</v>
      </c>
      <c r="M44" s="56" t="str">
        <f t="shared" si="23"/>
        <v/>
      </c>
      <c r="N44" s="56" t="str">
        <f t="shared" si="17"/>
        <v/>
      </c>
      <c r="O44" s="56" t="str">
        <f t="shared" si="14"/>
        <v/>
      </c>
      <c r="P44" s="56">
        <f>IF(B43=$E$8,SUM($P$25:P43),IF(B43&gt;$E$8," ",$O$5*$E$6))</f>
        <v>0</v>
      </c>
      <c r="Q44" s="59" t="str">
        <f>IF(B43=$E$8,XIRR(I$24:I43,D$24:D43),"")</f>
        <v/>
      </c>
      <c r="R44" s="56" t="str">
        <f t="shared" si="13"/>
        <v/>
      </c>
      <c r="S44" s="56">
        <f t="shared" si="5"/>
        <v>24828.436720519658</v>
      </c>
      <c r="T44" s="21">
        <f t="shared" ca="1" si="6"/>
        <v>2026</v>
      </c>
      <c r="U44" s="21">
        <f t="shared" ca="1" si="7"/>
        <v>365</v>
      </c>
      <c r="V44" s="21">
        <f t="shared" ca="1" si="8"/>
        <v>10</v>
      </c>
      <c r="W44" s="60">
        <f t="shared" ca="1" si="9"/>
        <v>9</v>
      </c>
      <c r="X44" s="61">
        <f t="shared" ca="1" si="10"/>
        <v>22</v>
      </c>
    </row>
    <row r="45" spans="1:24" x14ac:dyDescent="0.25">
      <c r="A45" s="21">
        <v>20</v>
      </c>
      <c r="B45" s="58">
        <f t="shared" si="1"/>
        <v>21</v>
      </c>
      <c r="C45" s="55">
        <f t="shared" ca="1" si="20"/>
        <v>46278</v>
      </c>
      <c r="D45" s="55">
        <f t="shared" ca="1" si="3"/>
        <v>46275</v>
      </c>
      <c r="E45" s="58">
        <f t="shared" ca="1" si="4"/>
        <v>31</v>
      </c>
      <c r="F45" s="56">
        <f t="shared" si="19"/>
        <v>442464.68414513051</v>
      </c>
      <c r="G45" s="56">
        <f>IF(B44=$E$8,SUM($G$24:G44),IF(B44&gt;$E$8+1,"",PPMT($E$11/12,A45,$E$8-1,-$F$25)))</f>
        <v>4011.4853192432315</v>
      </c>
      <c r="H45" s="56">
        <f>IF(B44=$E$8,SUM($H$24:H44),IF(B44&gt;$E$8,"",IPMT($E$11/12,A45,$E$8-1,-$F$25)))</f>
        <v>20816.951401276427</v>
      </c>
      <c r="I45" s="56">
        <f>IF(B44=$E$8,SUM($I$25:I44),IF(B44&gt;$E$8,"",G45+H45+P45))</f>
        <v>24828.436720519658</v>
      </c>
      <c r="J45" s="56" t="str">
        <f t="shared" si="21"/>
        <v/>
      </c>
      <c r="K45" s="56" t="str">
        <f t="shared" si="22"/>
        <v/>
      </c>
      <c r="L45" s="56" t="s">
        <v>144</v>
      </c>
      <c r="M45" s="56" t="str">
        <f t="shared" si="23"/>
        <v/>
      </c>
      <c r="N45" s="56" t="str">
        <f t="shared" si="17"/>
        <v/>
      </c>
      <c r="O45" s="56" t="str">
        <f t="shared" si="14"/>
        <v/>
      </c>
      <c r="P45" s="56">
        <f>IF(B44=$E$8,SUM($P$25:P44),IF(B44&gt;$E$8," ",$O$5*$E$6))</f>
        <v>0</v>
      </c>
      <c r="Q45" s="59" t="str">
        <f>IF(B44=$E$8,XIRR(I$24:I44,D$24:D44),"")</f>
        <v/>
      </c>
      <c r="R45" s="56" t="str">
        <f t="shared" si="13"/>
        <v/>
      </c>
      <c r="S45" s="56">
        <f t="shared" si="5"/>
        <v>24828.436720519658</v>
      </c>
      <c r="T45" s="21">
        <f t="shared" ca="1" si="6"/>
        <v>2026</v>
      </c>
      <c r="U45" s="21">
        <f t="shared" ca="1" si="7"/>
        <v>365</v>
      </c>
      <c r="V45" s="21">
        <f t="shared" ca="1" si="8"/>
        <v>10</v>
      </c>
      <c r="W45" s="60">
        <f t="shared" ca="1" si="9"/>
        <v>9</v>
      </c>
      <c r="X45" s="61">
        <f t="shared" ca="1" si="10"/>
        <v>22</v>
      </c>
    </row>
    <row r="46" spans="1:24" x14ac:dyDescent="0.25">
      <c r="A46" s="21">
        <v>21</v>
      </c>
      <c r="B46" s="58">
        <f t="shared" si="1"/>
        <v>22</v>
      </c>
      <c r="C46" s="55">
        <f t="shared" ca="1" si="20"/>
        <v>46308</v>
      </c>
      <c r="D46" s="55">
        <f t="shared" ca="1" si="3"/>
        <v>46305</v>
      </c>
      <c r="E46" s="58">
        <f t="shared" ca="1" si="4"/>
        <v>30</v>
      </c>
      <c r="F46" s="56">
        <f t="shared" si="19"/>
        <v>438266.16332287755</v>
      </c>
      <c r="G46" s="56">
        <f>IF(B45=$E$8,SUM($G$24:G45),IF(B45&gt;$E$8+1,"",PPMT($E$11/12,A46,$E$8-1,-$F$25)))</f>
        <v>4198.5208222529482</v>
      </c>
      <c r="H46" s="56">
        <f>IF(B45=$E$8,SUM($H$24:H45),IF(B45&gt;$E$8,"",IPMT($E$11/12,A46,$E$8-1,-$F$25)))</f>
        <v>20629.91589826671</v>
      </c>
      <c r="I46" s="56">
        <f>IF(B45=$E$8,SUM($I$25:I45),IF(B45&gt;$E$8,"",G46+H46+P46))</f>
        <v>24828.436720519658</v>
      </c>
      <c r="J46" s="56" t="str">
        <f t="shared" si="21"/>
        <v/>
      </c>
      <c r="K46" s="56" t="str">
        <f t="shared" si="22"/>
        <v/>
      </c>
      <c r="L46" s="56" t="s">
        <v>144</v>
      </c>
      <c r="M46" s="56" t="str">
        <f t="shared" si="23"/>
        <v/>
      </c>
      <c r="N46" s="56" t="str">
        <f t="shared" si="17"/>
        <v/>
      </c>
      <c r="O46" s="56" t="str">
        <f t="shared" si="14"/>
        <v/>
      </c>
      <c r="P46" s="56">
        <f>IF(B45=$E$8,SUM($P$25:P45),IF(B45&gt;$E$8," ",$O$5*$E$6))</f>
        <v>0</v>
      </c>
      <c r="Q46" s="59" t="str">
        <f>IF(B45=$E$8,XIRR(I$24:I45,D$24:D45),"")</f>
        <v/>
      </c>
      <c r="R46" s="56" t="str">
        <f t="shared" si="13"/>
        <v/>
      </c>
      <c r="S46" s="56">
        <f t="shared" si="5"/>
        <v>24828.436720519658</v>
      </c>
      <c r="T46" s="21">
        <f t="shared" ca="1" si="6"/>
        <v>2026</v>
      </c>
      <c r="U46" s="21">
        <f t="shared" ca="1" si="7"/>
        <v>365</v>
      </c>
      <c r="V46" s="21">
        <f t="shared" ca="1" si="8"/>
        <v>10</v>
      </c>
      <c r="W46" s="60">
        <f t="shared" ca="1" si="9"/>
        <v>9</v>
      </c>
      <c r="X46" s="61">
        <f t="shared" ca="1" si="10"/>
        <v>21</v>
      </c>
    </row>
    <row r="47" spans="1:24" x14ac:dyDescent="0.25">
      <c r="A47" s="21">
        <v>22</v>
      </c>
      <c r="B47" s="58">
        <f t="shared" si="1"/>
        <v>23</v>
      </c>
      <c r="C47" s="55">
        <f t="shared" ca="1" si="20"/>
        <v>46339</v>
      </c>
      <c r="D47" s="55">
        <f t="shared" ca="1" si="3"/>
        <v>46336</v>
      </c>
      <c r="E47" s="58">
        <f t="shared" ca="1" si="4"/>
        <v>31</v>
      </c>
      <c r="F47" s="56">
        <f t="shared" si="19"/>
        <v>433871.88646728708</v>
      </c>
      <c r="G47" s="56">
        <f>IF(B46=$E$8,SUM($G$24:G46),IF(B46&gt;$E$8+1,"",PPMT($E$11/12,A47,$E$8-1,-$F$25)))</f>
        <v>4394.2768555904913</v>
      </c>
      <c r="H47" s="56">
        <f>IF(B46=$E$8,SUM($H$24:H46),IF(B46&gt;$E$8,"",IPMT($E$11/12,A47,$E$8-1,-$F$25)))</f>
        <v>20434.15986492917</v>
      </c>
      <c r="I47" s="56">
        <f>IF(B46=$E$8,SUM($I$25:I46),IF(B46&gt;$E$8,"",G47+H47+P47))</f>
        <v>24828.436720519661</v>
      </c>
      <c r="J47" s="56" t="str">
        <f t="shared" si="21"/>
        <v/>
      </c>
      <c r="K47" s="56" t="str">
        <f t="shared" si="22"/>
        <v/>
      </c>
      <c r="L47" s="56" t="s">
        <v>144</v>
      </c>
      <c r="M47" s="56" t="str">
        <f t="shared" si="23"/>
        <v/>
      </c>
      <c r="N47" s="56" t="str">
        <f t="shared" si="17"/>
        <v/>
      </c>
      <c r="O47" s="56" t="str">
        <f t="shared" si="14"/>
        <v/>
      </c>
      <c r="P47" s="56">
        <f>IF(B46=$E$8,SUM($P$25:P46),IF(B46&gt;$E$8," ",$O$5*$E$6))</f>
        <v>0</v>
      </c>
      <c r="Q47" s="59" t="str">
        <f>IF(B46=$E$8,XIRR(I$24:I46,D$24:D46),"")</f>
        <v/>
      </c>
      <c r="R47" s="56" t="str">
        <f t="shared" si="13"/>
        <v/>
      </c>
      <c r="S47" s="56">
        <f t="shared" si="5"/>
        <v>24828.436720519661</v>
      </c>
      <c r="T47" s="21">
        <f t="shared" ca="1" si="6"/>
        <v>2026</v>
      </c>
      <c r="U47" s="21">
        <f t="shared" ca="1" si="7"/>
        <v>365</v>
      </c>
      <c r="V47" s="21">
        <f t="shared" ca="1" si="8"/>
        <v>10</v>
      </c>
      <c r="W47" s="60">
        <f t="shared" ca="1" si="9"/>
        <v>9</v>
      </c>
      <c r="X47" s="61">
        <f t="shared" ca="1" si="10"/>
        <v>22</v>
      </c>
    </row>
    <row r="48" spans="1:24" x14ac:dyDescent="0.25">
      <c r="A48" s="21">
        <v>23</v>
      </c>
      <c r="B48" s="58">
        <f t="shared" si="1"/>
        <v>24</v>
      </c>
      <c r="C48" s="55">
        <f t="shared" ca="1" si="20"/>
        <v>46369</v>
      </c>
      <c r="D48" s="55">
        <f t="shared" ca="1" si="3"/>
        <v>46366</v>
      </c>
      <c r="E48" s="58">
        <f t="shared" ca="1" si="4"/>
        <v>30</v>
      </c>
      <c r="F48" s="56">
        <f t="shared" si="19"/>
        <v>429272.7264533047</v>
      </c>
      <c r="G48" s="56">
        <f>IF(B47=$E$8,SUM($G$24:G47),IF(B47&gt;$E$8+1,"",PPMT($E$11/12,A48,$E$8-1,-$F$25)))</f>
        <v>4599.1600139823968</v>
      </c>
      <c r="H48" s="56">
        <f>IF(B47=$E$8,SUM($H$24:H47),IF(B47&gt;$E$8,"",IPMT($E$11/12,A48,$E$8-1,-$F$25)))</f>
        <v>20229.276706537261</v>
      </c>
      <c r="I48" s="56">
        <f>IF(B47=$E$8,SUM($I$25:I47),IF(B47&gt;$E$8,"",G48+H48+P48))</f>
        <v>24828.436720519658</v>
      </c>
      <c r="J48" s="56" t="str">
        <f t="shared" si="21"/>
        <v/>
      </c>
      <c r="K48" s="56" t="str">
        <f t="shared" si="22"/>
        <v/>
      </c>
      <c r="L48" s="56" t="s">
        <v>144</v>
      </c>
      <c r="M48" s="56" t="str">
        <f t="shared" si="23"/>
        <v/>
      </c>
      <c r="N48" s="56" t="str">
        <f t="shared" si="17"/>
        <v/>
      </c>
      <c r="O48" s="56" t="str">
        <f t="shared" si="14"/>
        <v/>
      </c>
      <c r="P48" s="56">
        <f>IF(B47=$E$8,SUM($P$25:P47),IF(B47&gt;$E$8," ",$O$5*$E$6))</f>
        <v>0</v>
      </c>
      <c r="Q48" s="59" t="str">
        <f>IF(B47=$E$8,XIRR(I$24:I47,D$24:D47),"")</f>
        <v/>
      </c>
      <c r="R48" s="56" t="str">
        <f t="shared" si="13"/>
        <v/>
      </c>
      <c r="S48" s="56">
        <f t="shared" si="5"/>
        <v>24828.436720519658</v>
      </c>
      <c r="T48" s="21">
        <f t="shared" ca="1" si="6"/>
        <v>2026</v>
      </c>
      <c r="U48" s="21">
        <f t="shared" ca="1" si="7"/>
        <v>365</v>
      </c>
      <c r="V48" s="21">
        <f t="shared" ca="1" si="8"/>
        <v>10</v>
      </c>
      <c r="W48" s="60">
        <f t="shared" ca="1" si="9"/>
        <v>9</v>
      </c>
      <c r="X48" s="61">
        <f t="shared" ca="1" si="10"/>
        <v>21</v>
      </c>
    </row>
    <row r="49" spans="1:24" x14ac:dyDescent="0.25">
      <c r="A49" s="21">
        <v>24</v>
      </c>
      <c r="B49" s="58">
        <f t="shared" si="1"/>
        <v>25</v>
      </c>
      <c r="C49" s="55">
        <f t="shared" ca="1" si="20"/>
        <v>46400</v>
      </c>
      <c r="D49" s="55">
        <f t="shared" ca="1" si="3"/>
        <v>46397</v>
      </c>
      <c r="E49" s="58">
        <f t="shared" ca="1" si="4"/>
        <v>31</v>
      </c>
      <c r="F49" s="56">
        <f t="shared" si="19"/>
        <v>424459.13060367038</v>
      </c>
      <c r="G49" s="56">
        <f>IF(B48=$E$8,SUM($G$24:G48),IF(B48&gt;$E$8+1,"",PPMT($E$11/12,A49,$E$8-1,-$F$25)))</f>
        <v>4813.5958496343264</v>
      </c>
      <c r="H49" s="56">
        <f>IF(B48=$E$8,SUM($H$24:H48),IF(B48&gt;$E$8,"",IPMT($E$11/12,A49,$E$8-1,-$F$25)))</f>
        <v>20014.840870885331</v>
      </c>
      <c r="I49" s="56">
        <f>IF(B48=$E$8,SUM($I$25:I48),IF(B48&gt;$E$8,"",G49+H49+P49))</f>
        <v>24828.436720519658</v>
      </c>
      <c r="J49" s="56" t="str">
        <f t="shared" si="21"/>
        <v/>
      </c>
      <c r="K49" s="56">
        <f>IF($E$8&gt;B48,$O$9,IF(B48=24,SUM($K$24:K48)," "))</f>
        <v>0</v>
      </c>
      <c r="L49" s="56">
        <f>IF($E$8&gt;24,($P$8+$O$10*F48),IF($B$48=$E$8,$L$37+$L$24,""))</f>
        <v>0</v>
      </c>
      <c r="M49" s="56" t="str">
        <f t="shared" si="23"/>
        <v/>
      </c>
      <c r="N49" s="56" t="str">
        <f t="shared" si="17"/>
        <v/>
      </c>
      <c r="O49" s="56" t="str">
        <f t="shared" si="14"/>
        <v/>
      </c>
      <c r="P49" s="56">
        <f>IF(B48=$E$8,SUM($P$25:P48),IF(B48&gt;$E$8," ",$O$5*$E$6))</f>
        <v>0</v>
      </c>
      <c r="Q49" s="59" t="str">
        <f>IF(B48=$E$8,XIRR(I$24:I48,D$24:D48),"")</f>
        <v/>
      </c>
      <c r="R49" s="56" t="str">
        <f t="shared" si="13"/>
        <v/>
      </c>
      <c r="S49" s="56">
        <f t="shared" si="5"/>
        <v>24828.436720519658</v>
      </c>
      <c r="T49" s="21">
        <f t="shared" ca="1" si="6"/>
        <v>2027</v>
      </c>
      <c r="U49" s="21">
        <f t="shared" ca="1" si="7"/>
        <v>365</v>
      </c>
      <c r="V49" s="21">
        <f t="shared" ca="1" si="8"/>
        <v>10</v>
      </c>
      <c r="W49" s="60">
        <f t="shared" ca="1" si="9"/>
        <v>9</v>
      </c>
      <c r="X49" s="61">
        <f t="shared" ca="1" si="10"/>
        <v>22</v>
      </c>
    </row>
    <row r="50" spans="1:24" x14ac:dyDescent="0.25">
      <c r="A50" s="21">
        <v>25</v>
      </c>
      <c r="B50" s="58">
        <f t="shared" si="1"/>
        <v>26</v>
      </c>
      <c r="C50" s="55">
        <f t="shared" ca="1" si="20"/>
        <v>46431</v>
      </c>
      <c r="D50" s="55">
        <f t="shared" ca="1" si="3"/>
        <v>46428</v>
      </c>
      <c r="E50" s="58">
        <f t="shared" ca="1" si="4"/>
        <v>31</v>
      </c>
      <c r="F50" s="56">
        <f t="shared" si="19"/>
        <v>419421.10084754683</v>
      </c>
      <c r="G50" s="56">
        <f>IF(B49=$E$8,SUM($G$24:G49),IF(B49&gt;$E$8+1,"",PPMT($E$11/12,A50,$E$8-1,-$F$25)))</f>
        <v>5038.0297561235275</v>
      </c>
      <c r="H50" s="56">
        <f>IF(B49=$E$8,SUM($H$24:H49),IF(B49&gt;$E$8,"",IPMT($E$11/12,A50,$E$8-1,-$F$25)))</f>
        <v>19790.40696439613</v>
      </c>
      <c r="I50" s="56">
        <f>IF(B49=$E$8,SUM($I$25:I49),IF(B49&gt;$E$8,"",G50+H50+P50))</f>
        <v>24828.436720519658</v>
      </c>
      <c r="J50" s="56" t="str">
        <f t="shared" si="21"/>
        <v/>
      </c>
      <c r="K50" s="56" t="str">
        <f t="shared" si="22"/>
        <v/>
      </c>
      <c r="L50" s="56" t="s">
        <v>144</v>
      </c>
      <c r="M50" s="56" t="str">
        <f t="shared" si="23"/>
        <v/>
      </c>
      <c r="N50" s="56" t="str">
        <f t="shared" si="17"/>
        <v/>
      </c>
      <c r="O50" s="56" t="str">
        <f t="shared" si="14"/>
        <v/>
      </c>
      <c r="P50" s="56">
        <f>IF(B49=$E$8,SUM($P$25:P49),IF(B49&gt;$E$8," ",$O$5*$E$6))</f>
        <v>0</v>
      </c>
      <c r="Q50" s="59" t="str">
        <f>IF(B49=$E$8,XIRR(I$24:I49,D$24:D49),"")</f>
        <v/>
      </c>
      <c r="R50" s="56" t="str">
        <f t="shared" si="13"/>
        <v/>
      </c>
      <c r="S50" s="56">
        <f t="shared" si="5"/>
        <v>24828.436720519658</v>
      </c>
      <c r="T50" s="21">
        <f t="shared" ca="1" si="6"/>
        <v>2027</v>
      </c>
      <c r="U50" s="21">
        <f t="shared" ca="1" si="7"/>
        <v>365</v>
      </c>
      <c r="V50" s="21">
        <f t="shared" ca="1" si="8"/>
        <v>10</v>
      </c>
      <c r="W50" s="60">
        <f t="shared" ca="1" si="9"/>
        <v>9</v>
      </c>
      <c r="X50" s="61">
        <f t="shared" ca="1" si="10"/>
        <v>22</v>
      </c>
    </row>
    <row r="51" spans="1:24" x14ac:dyDescent="0.25">
      <c r="A51" s="21">
        <v>26</v>
      </c>
      <c r="B51" s="58">
        <f t="shared" si="1"/>
        <v>27</v>
      </c>
      <c r="C51" s="55">
        <f t="shared" ca="1" si="20"/>
        <v>46459</v>
      </c>
      <c r="D51" s="55">
        <f t="shared" ca="1" si="3"/>
        <v>46456</v>
      </c>
      <c r="E51" s="58">
        <f t="shared" ca="1" si="4"/>
        <v>28</v>
      </c>
      <c r="F51" s="56">
        <f t="shared" si="19"/>
        <v>414148.17295404401</v>
      </c>
      <c r="G51" s="56">
        <f>IF(B50=$E$8,SUM($G$24:G50),IF(B50&gt;$E$8+1,"",PPMT($E$11/12,A51,$E$8-1,-$F$25)))</f>
        <v>5272.9278935027869</v>
      </c>
      <c r="H51" s="56">
        <f>IF(B50=$E$8,SUM($H$24:H50),IF(B50&gt;$E$8,"",IPMT($E$11/12,A51,$E$8-1,-$F$25)))</f>
        <v>19555.508827016874</v>
      </c>
      <c r="I51" s="56">
        <f>IF(B50=$E$8,SUM($I$25:I50),IF(B50&gt;$E$8,"",G51+H51+P51))</f>
        <v>24828.436720519661</v>
      </c>
      <c r="J51" s="56" t="str">
        <f t="shared" si="21"/>
        <v/>
      </c>
      <c r="K51" s="56" t="str">
        <f t="shared" si="22"/>
        <v/>
      </c>
      <c r="L51" s="56" t="s">
        <v>144</v>
      </c>
      <c r="M51" s="56" t="str">
        <f t="shared" si="23"/>
        <v/>
      </c>
      <c r="N51" s="56" t="str">
        <f t="shared" si="17"/>
        <v/>
      </c>
      <c r="O51" s="56" t="str">
        <f t="shared" si="14"/>
        <v/>
      </c>
      <c r="P51" s="56">
        <f>IF(B50=$E$8,SUM($P$25:P50),IF(B50&gt;$E$8," ",$O$5*$E$6))</f>
        <v>0</v>
      </c>
      <c r="Q51" s="59" t="str">
        <f>IF(B50=$E$8,XIRR(I$24:I50,D$24:D50),"")</f>
        <v/>
      </c>
      <c r="R51" s="56" t="str">
        <f t="shared" si="13"/>
        <v/>
      </c>
      <c r="S51" s="56">
        <f t="shared" si="5"/>
        <v>24828.436720519661</v>
      </c>
      <c r="T51" s="21">
        <f t="shared" ca="1" si="6"/>
        <v>2027</v>
      </c>
      <c r="U51" s="21">
        <f t="shared" ca="1" si="7"/>
        <v>365</v>
      </c>
      <c r="V51" s="21">
        <f t="shared" ca="1" si="8"/>
        <v>10</v>
      </c>
      <c r="W51" s="60">
        <f t="shared" ca="1" si="9"/>
        <v>9</v>
      </c>
      <c r="X51" s="61">
        <f t="shared" ca="1" si="10"/>
        <v>19</v>
      </c>
    </row>
    <row r="52" spans="1:24" x14ac:dyDescent="0.25">
      <c r="A52" s="21">
        <v>27</v>
      </c>
      <c r="B52" s="58">
        <f t="shared" si="1"/>
        <v>28</v>
      </c>
      <c r="C52" s="55">
        <f t="shared" ca="1" si="20"/>
        <v>46490</v>
      </c>
      <c r="D52" s="55">
        <f t="shared" ca="1" si="3"/>
        <v>46487</v>
      </c>
      <c r="E52" s="58">
        <f t="shared" ca="1" si="4"/>
        <v>31</v>
      </c>
      <c r="F52" s="56">
        <f t="shared" si="19"/>
        <v>408629.39479750668</v>
      </c>
      <c r="G52" s="56">
        <f>IF(B51=$E$8,SUM($G$24:G51),IF(B51&gt;$E$8+1,"",PPMT($E$11/12,A52,$E$8-1,-$F$25)))</f>
        <v>5518.7781565373543</v>
      </c>
      <c r="H52" s="56">
        <f>IF(B51=$E$8,SUM($H$24:H51),IF(B51&gt;$E$8,"",IPMT($E$11/12,A52,$E$8-1,-$F$25)))</f>
        <v>19309.658563982302</v>
      </c>
      <c r="I52" s="56">
        <f>IF(B51=$E$8,SUM($I$25:I51),IF(B51&gt;$E$8,"",G52+H52+P52))</f>
        <v>24828.436720519658</v>
      </c>
      <c r="J52" s="56" t="str">
        <f t="shared" si="21"/>
        <v/>
      </c>
      <c r="K52" s="56" t="str">
        <f t="shared" si="22"/>
        <v/>
      </c>
      <c r="L52" s="56" t="s">
        <v>144</v>
      </c>
      <c r="M52" s="56" t="str">
        <f t="shared" si="23"/>
        <v/>
      </c>
      <c r="N52" s="56" t="str">
        <f t="shared" si="17"/>
        <v/>
      </c>
      <c r="O52" s="56" t="str">
        <f t="shared" si="14"/>
        <v/>
      </c>
      <c r="P52" s="56">
        <f>IF(B51=$E$8,SUM($P$25:P51),IF(B51&gt;$E$8," ",$O$5*$E$6))</f>
        <v>0</v>
      </c>
      <c r="Q52" s="59" t="str">
        <f>IF(B51=$E$8,XIRR(I$24:I51,D$24:D51),"")</f>
        <v/>
      </c>
      <c r="R52" s="56" t="str">
        <f t="shared" si="13"/>
        <v/>
      </c>
      <c r="S52" s="56">
        <f t="shared" si="5"/>
        <v>24828.436720519658</v>
      </c>
      <c r="T52" s="21">
        <f t="shared" ca="1" si="6"/>
        <v>2027</v>
      </c>
      <c r="U52" s="21">
        <f t="shared" ca="1" si="7"/>
        <v>365</v>
      </c>
      <c r="V52" s="21">
        <f t="shared" ca="1" si="8"/>
        <v>10</v>
      </c>
      <c r="W52" s="60">
        <f t="shared" ca="1" si="9"/>
        <v>9</v>
      </c>
      <c r="X52" s="61">
        <f t="shared" ca="1" si="10"/>
        <v>22</v>
      </c>
    </row>
    <row r="53" spans="1:24" x14ac:dyDescent="0.25">
      <c r="A53" s="21">
        <v>28</v>
      </c>
      <c r="B53" s="58">
        <f t="shared" si="1"/>
        <v>29</v>
      </c>
      <c r="C53" s="55">
        <f t="shared" ca="1" si="20"/>
        <v>46520</v>
      </c>
      <c r="D53" s="55">
        <f t="shared" ca="1" si="3"/>
        <v>46517</v>
      </c>
      <c r="E53" s="58">
        <f t="shared" ca="1" si="4"/>
        <v>30</v>
      </c>
      <c r="F53" s="56">
        <f t="shared" si="19"/>
        <v>402853.30360942078</v>
      </c>
      <c r="G53" s="56">
        <f>IF(B52=$E$8,SUM($G$24:G52),IF(B52&gt;$E$8+1,"",PPMT($E$11/12,A53,$E$8-1,-$F$25)))</f>
        <v>5776.0911880859085</v>
      </c>
      <c r="H53" s="56">
        <f>IF(B52=$E$8,SUM($H$24:H52),IF(B52&gt;$E$8,"",IPMT($E$11/12,A53,$E$8-1,-$F$25)))</f>
        <v>19052.345532433748</v>
      </c>
      <c r="I53" s="56">
        <f>IF(B52=$E$8,SUM($I$25:I52),IF(B52&gt;$E$8,"",G53+H53+P53))</f>
        <v>24828.436720519658</v>
      </c>
      <c r="J53" s="56" t="str">
        <f t="shared" si="21"/>
        <v/>
      </c>
      <c r="K53" s="56" t="str">
        <f t="shared" si="22"/>
        <v/>
      </c>
      <c r="L53" s="56" t="s">
        <v>144</v>
      </c>
      <c r="M53" s="56" t="str">
        <f t="shared" si="23"/>
        <v/>
      </c>
      <c r="N53" s="56" t="str">
        <f t="shared" si="17"/>
        <v/>
      </c>
      <c r="O53" s="56" t="str">
        <f t="shared" si="14"/>
        <v/>
      </c>
      <c r="P53" s="56">
        <f>IF(B52=$E$8,SUM($P$25:P52),IF(B52&gt;$E$8," ",$O$5*$E$6))</f>
        <v>0</v>
      </c>
      <c r="Q53" s="59" t="str">
        <f>IF(B52=$E$8,XIRR(I$24:I52,D$24:D52),"")</f>
        <v/>
      </c>
      <c r="R53" s="56" t="str">
        <f t="shared" si="13"/>
        <v/>
      </c>
      <c r="S53" s="56">
        <f t="shared" si="5"/>
        <v>24828.436720519658</v>
      </c>
      <c r="T53" s="21">
        <f t="shared" ca="1" si="6"/>
        <v>2027</v>
      </c>
      <c r="U53" s="21">
        <f t="shared" ca="1" si="7"/>
        <v>365</v>
      </c>
      <c r="V53" s="21">
        <f t="shared" ca="1" si="8"/>
        <v>10</v>
      </c>
      <c r="W53" s="60">
        <f t="shared" ca="1" si="9"/>
        <v>9</v>
      </c>
      <c r="X53" s="61">
        <f t="shared" ca="1" si="10"/>
        <v>21</v>
      </c>
    </row>
    <row r="54" spans="1:24" x14ac:dyDescent="0.25">
      <c r="A54" s="21">
        <v>29</v>
      </c>
      <c r="B54" s="58">
        <f t="shared" si="1"/>
        <v>30</v>
      </c>
      <c r="C54" s="55">
        <f t="shared" ca="1" si="20"/>
        <v>46551</v>
      </c>
      <c r="D54" s="55">
        <f t="shared" ca="1" si="3"/>
        <v>46548</v>
      </c>
      <c r="E54" s="58">
        <f t="shared" ca="1" si="4"/>
        <v>31</v>
      </c>
      <c r="F54" s="56">
        <f t="shared" si="19"/>
        <v>396807.90216969035</v>
      </c>
      <c r="G54" s="56">
        <f>IF(B53=$E$8,SUM($G$24:G53),IF(B53&gt;$E$8+1,"",PPMT($E$11/12,A54,$E$8-1,-$F$25)))</f>
        <v>6045.4014397304136</v>
      </c>
      <c r="H54" s="56">
        <f>IF(B53=$E$8,SUM($H$24:H53),IF(B53&gt;$E$8,"",IPMT($E$11/12,A54,$E$8-1,-$F$25)))</f>
        <v>18783.035280789245</v>
      </c>
      <c r="I54" s="56">
        <f>IF(B53=$E$8,SUM($I$25:I53),IF(B53&gt;$E$8,"",G54+H54+P54))</f>
        <v>24828.436720519658</v>
      </c>
      <c r="J54" s="56" t="str">
        <f t="shared" si="21"/>
        <v/>
      </c>
      <c r="K54" s="56" t="str">
        <f t="shared" si="22"/>
        <v/>
      </c>
      <c r="L54" s="56" t="s">
        <v>144</v>
      </c>
      <c r="M54" s="56" t="str">
        <f t="shared" si="23"/>
        <v/>
      </c>
      <c r="N54" s="56" t="str">
        <f t="shared" si="17"/>
        <v/>
      </c>
      <c r="O54" s="56" t="str">
        <f t="shared" si="14"/>
        <v/>
      </c>
      <c r="P54" s="56">
        <f>IF(B53=$E$8,SUM($P$25:P53),IF(B53&gt;$E$8," ",$O$5*$E$6))</f>
        <v>0</v>
      </c>
      <c r="Q54" s="59" t="str">
        <f>IF(B53=$E$8,XIRR(I$24:I53,D$24:D53),"")</f>
        <v/>
      </c>
      <c r="R54" s="56" t="str">
        <f t="shared" si="13"/>
        <v/>
      </c>
      <c r="S54" s="56">
        <f t="shared" si="5"/>
        <v>24828.436720519658</v>
      </c>
      <c r="T54" s="21">
        <f t="shared" ca="1" si="6"/>
        <v>2027</v>
      </c>
      <c r="U54" s="21">
        <f t="shared" ca="1" si="7"/>
        <v>365</v>
      </c>
      <c r="V54" s="21">
        <f t="shared" ca="1" si="8"/>
        <v>10</v>
      </c>
      <c r="W54" s="60">
        <f t="shared" ca="1" si="9"/>
        <v>9</v>
      </c>
      <c r="X54" s="61">
        <f t="shared" ca="1" si="10"/>
        <v>22</v>
      </c>
    </row>
    <row r="55" spans="1:24" x14ac:dyDescent="0.25">
      <c r="A55" s="21">
        <v>30</v>
      </c>
      <c r="B55" s="58">
        <f t="shared" si="1"/>
        <v>31</v>
      </c>
      <c r="C55" s="55">
        <f t="shared" ca="1" si="20"/>
        <v>46581</v>
      </c>
      <c r="D55" s="55">
        <f t="shared" ca="1" si="3"/>
        <v>46578</v>
      </c>
      <c r="E55" s="58">
        <f t="shared" ca="1" si="4"/>
        <v>30</v>
      </c>
      <c r="F55" s="56">
        <f t="shared" si="19"/>
        <v>390480.63388783252</v>
      </c>
      <c r="G55" s="56">
        <f>IF(B54=$E$8,SUM($G$24:G54),IF(B54&gt;$E$8+1,"",PPMT($E$11/12,A55,$E$8-1,-$F$25)))</f>
        <v>6327.2682818578442</v>
      </c>
      <c r="H55" s="56">
        <f>IF(B54=$E$8,SUM($H$24:H54),IF(B54&gt;$E$8,"",IPMT($E$11/12,A55,$E$8-1,-$F$25)))</f>
        <v>18501.168438661811</v>
      </c>
      <c r="I55" s="56">
        <f>IF(B54=$E$8,SUM($I$25:I54),IF(B54&gt;$E$8,"",G55+H55+P55))</f>
        <v>24828.436720519654</v>
      </c>
      <c r="J55" s="56" t="str">
        <f t="shared" si="21"/>
        <v/>
      </c>
      <c r="K55" s="56" t="str">
        <f t="shared" si="22"/>
        <v/>
      </c>
      <c r="L55" s="56" t="s">
        <v>144</v>
      </c>
      <c r="M55" s="56" t="str">
        <f t="shared" si="23"/>
        <v/>
      </c>
      <c r="N55" s="56" t="str">
        <f t="shared" si="17"/>
        <v/>
      </c>
      <c r="O55" s="56" t="str">
        <f t="shared" si="14"/>
        <v/>
      </c>
      <c r="P55" s="56">
        <f>IF(B54=$E$8,SUM($P$25:P54),IF(B54&gt;$E$8," ",$O$5*$E$6))</f>
        <v>0</v>
      </c>
      <c r="Q55" s="59" t="str">
        <f>IF(B54=$E$8,XIRR(I$24:I54,D$24:D54),"")</f>
        <v/>
      </c>
      <c r="R55" s="56" t="str">
        <f t="shared" si="13"/>
        <v/>
      </c>
      <c r="S55" s="56">
        <f t="shared" si="5"/>
        <v>24828.436720519654</v>
      </c>
      <c r="T55" s="21">
        <f t="shared" ca="1" si="6"/>
        <v>2027</v>
      </c>
      <c r="U55" s="21">
        <f t="shared" ca="1" si="7"/>
        <v>365</v>
      </c>
      <c r="V55" s="21">
        <f t="shared" ca="1" si="8"/>
        <v>10</v>
      </c>
      <c r="W55" s="60">
        <f t="shared" ca="1" si="9"/>
        <v>9</v>
      </c>
      <c r="X55" s="61">
        <f t="shared" ca="1" si="10"/>
        <v>21</v>
      </c>
    </row>
    <row r="56" spans="1:24" x14ac:dyDescent="0.25">
      <c r="A56" s="21">
        <v>31</v>
      </c>
      <c r="B56" s="58">
        <f t="shared" si="1"/>
        <v>32</v>
      </c>
      <c r="C56" s="55">
        <f t="shared" ca="1" si="20"/>
        <v>46612</v>
      </c>
      <c r="D56" s="55">
        <f t="shared" ca="1" si="3"/>
        <v>46609</v>
      </c>
      <c r="E56" s="58">
        <f t="shared" ca="1" si="4"/>
        <v>31</v>
      </c>
      <c r="F56" s="56">
        <f t="shared" si="19"/>
        <v>383858.35672233306</v>
      </c>
      <c r="G56" s="56">
        <f>IF(B55=$E$8,SUM($G$24:G55),IF(B55&gt;$E$8+1,"",PPMT($E$11/12,A56,$E$8-1,-$F$25)))</f>
        <v>6622.2771654994667</v>
      </c>
      <c r="H56" s="56">
        <f>IF(B55=$E$8,SUM($H$24:H55),IF(B55&gt;$E$8,"",IPMT($E$11/12,A56,$E$8-1,-$F$25)))</f>
        <v>18206.159555020193</v>
      </c>
      <c r="I56" s="56">
        <f>IF(B55=$E$8,SUM($I$25:I55),IF(B55&gt;$E$8,"",G56+H56+P56))</f>
        <v>24828.436720519661</v>
      </c>
      <c r="J56" s="56" t="str">
        <f t="shared" si="21"/>
        <v/>
      </c>
      <c r="K56" s="56" t="str">
        <f t="shared" si="22"/>
        <v/>
      </c>
      <c r="L56" s="56" t="s">
        <v>144</v>
      </c>
      <c r="M56" s="56" t="str">
        <f t="shared" si="23"/>
        <v/>
      </c>
      <c r="N56" s="56" t="str">
        <f t="shared" si="17"/>
        <v/>
      </c>
      <c r="O56" s="56" t="str">
        <f t="shared" si="14"/>
        <v/>
      </c>
      <c r="P56" s="56">
        <f>IF(B55=$E$8,SUM($P$25:P55),IF(B55&gt;$E$8," ",$O$5*$E$6))</f>
        <v>0</v>
      </c>
      <c r="Q56" s="59" t="str">
        <f>IF(B55=$E$8,XIRR(I$24:I55,D$24:D55),"")</f>
        <v/>
      </c>
      <c r="R56" s="56" t="str">
        <f t="shared" si="13"/>
        <v/>
      </c>
      <c r="S56" s="56">
        <f t="shared" si="5"/>
        <v>24828.436720519661</v>
      </c>
      <c r="T56" s="21">
        <f t="shared" ca="1" si="6"/>
        <v>2027</v>
      </c>
      <c r="U56" s="21">
        <f t="shared" ca="1" si="7"/>
        <v>365</v>
      </c>
      <c r="V56" s="21">
        <f t="shared" ca="1" si="8"/>
        <v>10</v>
      </c>
      <c r="W56" s="60">
        <f t="shared" ca="1" si="9"/>
        <v>9</v>
      </c>
      <c r="X56" s="61">
        <f t="shared" ca="1" si="10"/>
        <v>22</v>
      </c>
    </row>
    <row r="57" spans="1:24" x14ac:dyDescent="0.25">
      <c r="A57" s="21">
        <v>32</v>
      </c>
      <c r="B57" s="58">
        <f t="shared" si="1"/>
        <v>33</v>
      </c>
      <c r="C57" s="55">
        <f t="shared" ca="1" si="20"/>
        <v>46643</v>
      </c>
      <c r="D57" s="55">
        <f t="shared" ca="1" si="3"/>
        <v>46640</v>
      </c>
      <c r="E57" s="58">
        <f t="shared" ca="1" si="4"/>
        <v>31</v>
      </c>
      <c r="F57" s="56">
        <f t="shared" si="19"/>
        <v>376927.31588399218</v>
      </c>
      <c r="G57" s="56">
        <f>IF(B56=$E$8,SUM($G$24:G56),IF(B56&gt;$E$8+1,"",PPMT($E$11/12,A57,$E$8-1,-$F$25)))</f>
        <v>6931.0408383408803</v>
      </c>
      <c r="H57" s="56">
        <f>IF(B56=$E$8,SUM($H$24:H56),IF(B56&gt;$E$8,"",IPMT($E$11/12,A57,$E$8-1,-$F$25)))</f>
        <v>17897.395882178775</v>
      </c>
      <c r="I57" s="56">
        <f>IF(B56=$E$8,SUM($I$25:I56),IF(B56&gt;$E$8,"",G57+H57+P57))</f>
        <v>24828.436720519654</v>
      </c>
      <c r="J57" s="56" t="str">
        <f t="shared" si="21"/>
        <v/>
      </c>
      <c r="K57" s="56" t="str">
        <f t="shared" si="22"/>
        <v/>
      </c>
      <c r="L57" s="56" t="s">
        <v>144</v>
      </c>
      <c r="M57" s="56" t="str">
        <f t="shared" si="23"/>
        <v/>
      </c>
      <c r="N57" s="56" t="str">
        <f t="shared" si="17"/>
        <v/>
      </c>
      <c r="O57" s="56" t="str">
        <f t="shared" si="14"/>
        <v/>
      </c>
      <c r="P57" s="56">
        <f>IF(B56=$E$8,SUM($P$25:P56),IF(B56&gt;$E$8," ",$O$5*$E$6))</f>
        <v>0</v>
      </c>
      <c r="Q57" s="59" t="str">
        <f>IF(B56=$E$8,XIRR(I$24:I56,D$24:D56),"")</f>
        <v/>
      </c>
      <c r="R57" s="56" t="str">
        <f t="shared" si="13"/>
        <v/>
      </c>
      <c r="S57" s="56">
        <f t="shared" si="5"/>
        <v>24828.436720519654</v>
      </c>
      <c r="T57" s="21">
        <f t="shared" ca="1" si="6"/>
        <v>2027</v>
      </c>
      <c r="U57" s="21">
        <f t="shared" ca="1" si="7"/>
        <v>365</v>
      </c>
      <c r="V57" s="21">
        <f t="shared" ca="1" si="8"/>
        <v>10</v>
      </c>
      <c r="W57" s="60">
        <f t="shared" ca="1" si="9"/>
        <v>9</v>
      </c>
      <c r="X57" s="61">
        <f t="shared" ca="1" si="10"/>
        <v>22</v>
      </c>
    </row>
    <row r="58" spans="1:24" x14ac:dyDescent="0.25">
      <c r="A58" s="21">
        <v>33</v>
      </c>
      <c r="B58" s="58">
        <f t="shared" si="1"/>
        <v>34</v>
      </c>
      <c r="C58" s="55">
        <f t="shared" ca="1" si="20"/>
        <v>46673</v>
      </c>
      <c r="D58" s="55">
        <f t="shared" ca="1" si="3"/>
        <v>46670</v>
      </c>
      <c r="E58" s="58">
        <f t="shared" ca="1" si="4"/>
        <v>30</v>
      </c>
      <c r="F58" s="56">
        <f t="shared" si="19"/>
        <v>369673.11526656366</v>
      </c>
      <c r="G58" s="56">
        <f>IF(B57=$E$8,SUM($G$24:G57),IF(B57&gt;$E$8+1,"",PPMT($E$11/12,A58,$E$8-1,-$F$25)))</f>
        <v>7254.2006174285243</v>
      </c>
      <c r="H58" s="56">
        <f>IF(B57=$E$8,SUM($H$24:H57),IF(B57&gt;$E$8,"",IPMT($E$11/12,A58,$E$8-1,-$F$25)))</f>
        <v>17574.236103091134</v>
      </c>
      <c r="I58" s="56">
        <f>IF(B57=$E$8,SUM($I$25:I57),IF(B57&gt;$E$8,"",G58+H58+P58))</f>
        <v>24828.436720519658</v>
      </c>
      <c r="J58" s="56" t="str">
        <f t="shared" si="21"/>
        <v/>
      </c>
      <c r="K58" s="56" t="str">
        <f t="shared" si="22"/>
        <v/>
      </c>
      <c r="L58" s="56" t="s">
        <v>144</v>
      </c>
      <c r="M58" s="56" t="str">
        <f t="shared" si="23"/>
        <v/>
      </c>
      <c r="N58" s="56" t="str">
        <f t="shared" si="17"/>
        <v/>
      </c>
      <c r="O58" s="56" t="str">
        <f t="shared" si="14"/>
        <v/>
      </c>
      <c r="P58" s="56">
        <f>IF(B57=$E$8,SUM($P$25:P57),IF(B57&gt;$E$8," ",$O$5*$E$6))</f>
        <v>0</v>
      </c>
      <c r="Q58" s="59" t="str">
        <f>IF(B57=$E$8,XIRR(I$24:I57,D$24:D57),"")</f>
        <v/>
      </c>
      <c r="R58" s="56" t="str">
        <f t="shared" si="13"/>
        <v/>
      </c>
      <c r="S58" s="56">
        <f t="shared" si="5"/>
        <v>24828.436720519658</v>
      </c>
      <c r="T58" s="21">
        <f t="shared" ca="1" si="6"/>
        <v>2027</v>
      </c>
      <c r="U58" s="21">
        <f t="shared" ca="1" si="7"/>
        <v>365</v>
      </c>
      <c r="V58" s="21">
        <f t="shared" ca="1" si="8"/>
        <v>10</v>
      </c>
      <c r="W58" s="60">
        <f t="shared" ca="1" si="9"/>
        <v>9</v>
      </c>
      <c r="X58" s="61">
        <f t="shared" ca="1" si="10"/>
        <v>21</v>
      </c>
    </row>
    <row r="59" spans="1:24" x14ac:dyDescent="0.25">
      <c r="A59" s="21">
        <v>34</v>
      </c>
      <c r="B59" s="58">
        <f t="shared" si="1"/>
        <v>35</v>
      </c>
      <c r="C59" s="55">
        <f t="shared" ca="1" si="20"/>
        <v>46704</v>
      </c>
      <c r="D59" s="55">
        <f t="shared" ca="1" si="3"/>
        <v>46701</v>
      </c>
      <c r="E59" s="58">
        <f t="shared" ca="1" si="4"/>
        <v>31</v>
      </c>
      <c r="F59" s="56">
        <f t="shared" si="19"/>
        <v>362080.68754534755</v>
      </c>
      <c r="G59" s="56">
        <f>IF(B58=$E$8,SUM($G$24:G58),IF(B58&gt;$E$8+1,"",PPMT($E$11/12,A59,$E$8-1,-$F$25)))</f>
        <v>7592.427721216126</v>
      </c>
      <c r="H59" s="56">
        <f>IF(B58=$E$8,SUM($H$24:H58),IF(B58&gt;$E$8,"",IPMT($E$11/12,A59,$E$8-1,-$F$25)))</f>
        <v>17236.008999303529</v>
      </c>
      <c r="I59" s="56">
        <f>IF(B58=$E$8,SUM($I$25:I58),IF(B58&gt;$E$8,"",G59+H59+P59))</f>
        <v>24828.436720519654</v>
      </c>
      <c r="J59" s="56" t="str">
        <f t="shared" si="21"/>
        <v/>
      </c>
      <c r="K59" s="56" t="str">
        <f t="shared" si="22"/>
        <v/>
      </c>
      <c r="L59" s="56" t="s">
        <v>145</v>
      </c>
      <c r="M59" s="56" t="str">
        <f t="shared" si="23"/>
        <v/>
      </c>
      <c r="N59" s="56" t="str">
        <f t="shared" si="17"/>
        <v/>
      </c>
      <c r="O59" s="56" t="str">
        <f t="shared" si="14"/>
        <v/>
      </c>
      <c r="P59" s="56">
        <f>IF(B58=$E$8,SUM($P$25:P58),IF(B58&gt;$E$8," ",$O$5*$E$6))</f>
        <v>0</v>
      </c>
      <c r="Q59" s="59" t="str">
        <f>IF(B58=$E$8,XIRR(I$24:I58,D$24:D58),"")</f>
        <v/>
      </c>
      <c r="R59" s="56" t="str">
        <f t="shared" si="13"/>
        <v/>
      </c>
      <c r="S59" s="56">
        <f t="shared" si="5"/>
        <v>24828.436720519654</v>
      </c>
      <c r="T59" s="21">
        <f t="shared" ca="1" si="6"/>
        <v>2027</v>
      </c>
      <c r="U59" s="21">
        <f t="shared" ca="1" si="7"/>
        <v>365</v>
      </c>
      <c r="V59" s="21">
        <f t="shared" ca="1" si="8"/>
        <v>10</v>
      </c>
      <c r="W59" s="60">
        <f t="shared" ca="1" si="9"/>
        <v>9</v>
      </c>
      <c r="X59" s="61">
        <f t="shared" ca="1" si="10"/>
        <v>22</v>
      </c>
    </row>
    <row r="60" spans="1:24" x14ac:dyDescent="0.25">
      <c r="A60" s="21">
        <v>35</v>
      </c>
      <c r="B60" s="58">
        <f t="shared" si="1"/>
        <v>36</v>
      </c>
      <c r="C60" s="55">
        <f t="shared" ca="1" si="20"/>
        <v>46734</v>
      </c>
      <c r="D60" s="55">
        <f t="shared" ca="1" si="3"/>
        <v>46731</v>
      </c>
      <c r="E60" s="58">
        <f t="shared" ca="1" si="4"/>
        <v>30</v>
      </c>
      <c r="F60" s="56">
        <f t="shared" si="19"/>
        <v>354134.26288162975</v>
      </c>
      <c r="G60" s="56">
        <f>IF(B59=$E$8,SUM($G$24:G59),IF(B59&gt;$E$8+1,"",PPMT($E$11/12,A60,$E$8-1,-$F$25)))</f>
        <v>7946.4246637178285</v>
      </c>
      <c r="H60" s="56">
        <f>IF(B59=$E$8,SUM($H$24:H59),IF(B59&gt;$E$8,"",IPMT($E$11/12,A60,$E$8-1,-$F$25)))</f>
        <v>16882.012056801828</v>
      </c>
      <c r="I60" s="56">
        <f>IF(B59=$E$8,SUM($I$25:I59),IF(B59&gt;$E$8,"",G60+H60+P60))</f>
        <v>24828.436720519658</v>
      </c>
      <c r="J60" s="56" t="str">
        <f t="shared" si="21"/>
        <v/>
      </c>
      <c r="K60" s="56" t="str">
        <f t="shared" si="22"/>
        <v/>
      </c>
      <c r="L60" s="56" t="s">
        <v>144</v>
      </c>
      <c r="M60" s="56" t="str">
        <f t="shared" si="23"/>
        <v/>
      </c>
      <c r="N60" s="56" t="str">
        <f t="shared" si="17"/>
        <v/>
      </c>
      <c r="O60" s="56" t="str">
        <f t="shared" si="14"/>
        <v/>
      </c>
      <c r="P60" s="56">
        <f>IF(B59=$E$8,SUM($P$25:P59),IF(B59&gt;$E$8," ",$O$5*$E$6))</f>
        <v>0</v>
      </c>
      <c r="Q60" s="59" t="str">
        <f>IF(B59=$E$8,XIRR(I$24:I59,D$24:D59),"")</f>
        <v/>
      </c>
      <c r="R60" s="56" t="str">
        <f t="shared" si="13"/>
        <v/>
      </c>
      <c r="S60" s="56">
        <f t="shared" si="5"/>
        <v>24828.436720519658</v>
      </c>
      <c r="T60" s="21">
        <f t="shared" ca="1" si="6"/>
        <v>2027</v>
      </c>
      <c r="U60" s="21">
        <f t="shared" ca="1" si="7"/>
        <v>365</v>
      </c>
      <c r="V60" s="21">
        <f t="shared" ca="1" si="8"/>
        <v>10</v>
      </c>
      <c r="W60" s="60">
        <f t="shared" ca="1" si="9"/>
        <v>9</v>
      </c>
      <c r="X60" s="61">
        <f t="shared" ca="1" si="10"/>
        <v>21</v>
      </c>
    </row>
    <row r="61" spans="1:24" x14ac:dyDescent="0.25">
      <c r="A61" s="21">
        <v>36</v>
      </c>
      <c r="B61" s="58">
        <f t="shared" si="1"/>
        <v>37</v>
      </c>
      <c r="C61" s="55">
        <f t="shared" ca="1" si="20"/>
        <v>46765</v>
      </c>
      <c r="D61" s="55">
        <f t="shared" ca="1" si="3"/>
        <v>46762</v>
      </c>
      <c r="E61" s="58">
        <f t="shared" ca="1" si="4"/>
        <v>31</v>
      </c>
      <c r="F61" s="56">
        <f t="shared" si="19"/>
        <v>345817.33616796607</v>
      </c>
      <c r="G61" s="56">
        <f>IF(B60=$E$8,SUM($G$24:G60),IF(B60&gt;$E$8+1,"",PPMT($E$11/12,A61,$E$8-1,-$F$25)))</f>
        <v>8316.9267136636736</v>
      </c>
      <c r="H61" s="56">
        <f>IF(B60=$E$8,SUM($H$24:H60),IF(B60&gt;$E$8,"",IPMT($E$11/12,A61,$E$8-1,-$F$25)))</f>
        <v>16511.510006855988</v>
      </c>
      <c r="I61" s="56">
        <f>IF(B60=$E$8,SUM($I$25:I60),IF(B60&gt;$E$8,"",G61+H61+P61))</f>
        <v>24828.436720519661</v>
      </c>
      <c r="J61" s="56" t="str">
        <f t="shared" si="21"/>
        <v/>
      </c>
      <c r="K61" s="56">
        <f>IF($E$8&gt;B60,$O$9,IF(B60=36,SUM($K$24:K60)," "))</f>
        <v>0</v>
      </c>
      <c r="L61" s="56">
        <f>IF($E$8&gt;36,($P$8+$O$10*F60),IF($B$60=$E$8,$L$37+$L$24+$L$49,""))</f>
        <v>0</v>
      </c>
      <c r="M61" s="56" t="str">
        <f t="shared" si="23"/>
        <v/>
      </c>
      <c r="N61" s="56" t="str">
        <f t="shared" si="17"/>
        <v/>
      </c>
      <c r="O61" s="56" t="str">
        <f t="shared" si="14"/>
        <v/>
      </c>
      <c r="P61" s="56">
        <f>IF(B60=$E$8,SUM($P$25:P60),IF(B60&gt;$E$8," ",$O$5*$E$6))</f>
        <v>0</v>
      </c>
      <c r="Q61" s="59" t="str">
        <f>IF(B60=$E$8,XIRR(I$24:I60,D$24:D60),"")</f>
        <v/>
      </c>
      <c r="R61" s="56" t="str">
        <f t="shared" si="13"/>
        <v/>
      </c>
      <c r="S61" s="56">
        <f t="shared" si="5"/>
        <v>24828.436720519661</v>
      </c>
      <c r="T61" s="21">
        <f t="shared" ca="1" si="6"/>
        <v>2028</v>
      </c>
      <c r="U61" s="21">
        <f t="shared" ca="1" si="7"/>
        <v>366</v>
      </c>
      <c r="V61" s="21">
        <f t="shared" ca="1" si="8"/>
        <v>10</v>
      </c>
      <c r="W61" s="60">
        <f t="shared" ca="1" si="9"/>
        <v>9</v>
      </c>
      <c r="X61" s="61">
        <f t="shared" ca="1" si="10"/>
        <v>22</v>
      </c>
    </row>
    <row r="62" spans="1:24" x14ac:dyDescent="0.25">
      <c r="A62" s="21">
        <v>37</v>
      </c>
      <c r="B62" s="58">
        <f t="shared" si="1"/>
        <v>38</v>
      </c>
      <c r="C62" s="55">
        <f t="shared" ca="1" si="20"/>
        <v>46796</v>
      </c>
      <c r="D62" s="55">
        <f t="shared" ca="1" si="3"/>
        <v>46793</v>
      </c>
      <c r="E62" s="58">
        <f t="shared" ca="1" si="4"/>
        <v>31</v>
      </c>
      <c r="F62" s="56">
        <f t="shared" si="19"/>
        <v>337112.63274627784</v>
      </c>
      <c r="G62" s="56">
        <f>IF(B61=$E$8,SUM($G$24:G61),IF(B61&gt;$E$8+1,"",PPMT($E$11/12,A62,$E$8-1,-$F$25)))</f>
        <v>8704.7034216882421</v>
      </c>
      <c r="H62" s="56">
        <f>IF(B61=$E$8,SUM($H$24:H61),IF(B61&gt;$E$8,"",IPMT($E$11/12,A62,$E$8-1,-$F$25)))</f>
        <v>16123.733298831416</v>
      </c>
      <c r="I62" s="56">
        <f>IF(B61=$E$8,SUM($I$25:I61),IF(B61&gt;$E$8,"",G62+H62+P62))</f>
        <v>24828.436720519658</v>
      </c>
      <c r="J62" s="56" t="str">
        <f t="shared" si="21"/>
        <v/>
      </c>
      <c r="K62" s="56" t="str">
        <f t="shared" si="22"/>
        <v/>
      </c>
      <c r="L62" s="56" t="s">
        <v>144</v>
      </c>
      <c r="M62" s="56" t="str">
        <f t="shared" si="23"/>
        <v/>
      </c>
      <c r="N62" s="56" t="str">
        <f t="shared" si="17"/>
        <v/>
      </c>
      <c r="O62" s="56" t="str">
        <f t="shared" si="14"/>
        <v/>
      </c>
      <c r="P62" s="56">
        <f>IF(B61=$E$8,SUM($P$25:P61),IF(B61&gt;$E$8," ",$O$5*$E$6))</f>
        <v>0</v>
      </c>
      <c r="Q62" s="59" t="str">
        <f>IF(B61=$E$8,XIRR(I$24:I61,D$24:D61),"")</f>
        <v/>
      </c>
      <c r="R62" s="56" t="str">
        <f t="shared" si="13"/>
        <v/>
      </c>
      <c r="S62" s="56">
        <f t="shared" si="5"/>
        <v>24828.436720519658</v>
      </c>
      <c r="T62" s="21">
        <f t="shared" ca="1" si="6"/>
        <v>2028</v>
      </c>
      <c r="U62" s="21">
        <f t="shared" ca="1" si="7"/>
        <v>366</v>
      </c>
      <c r="V62" s="21">
        <f t="shared" ca="1" si="8"/>
        <v>10</v>
      </c>
      <c r="W62" s="60">
        <f t="shared" ca="1" si="9"/>
        <v>9</v>
      </c>
      <c r="X62" s="61">
        <f t="shared" ca="1" si="10"/>
        <v>22</v>
      </c>
    </row>
    <row r="63" spans="1:24" x14ac:dyDescent="0.25">
      <c r="A63" s="21">
        <v>38</v>
      </c>
      <c r="B63" s="58">
        <f t="shared" si="1"/>
        <v>39</v>
      </c>
      <c r="C63" s="55">
        <f t="shared" ca="1" si="20"/>
        <v>46825</v>
      </c>
      <c r="D63" s="55">
        <f t="shared" ca="1" si="3"/>
        <v>46822</v>
      </c>
      <c r="E63" s="58">
        <f t="shared" ca="1" si="4"/>
        <v>29</v>
      </c>
      <c r="F63" s="56">
        <f t="shared" si="19"/>
        <v>328002.07252755336</v>
      </c>
      <c r="G63" s="56">
        <f>IF(B62=$E$8,SUM($G$24:G62),IF(B62&gt;$E$8+1,"",PPMT($E$11/12,A63,$E$8-1,-$F$25)))</f>
        <v>9110.5602187244567</v>
      </c>
      <c r="H63" s="56">
        <f>IF(B62=$E$8,SUM($H$24:H62),IF(B62&gt;$E$8,"",IPMT($E$11/12,A63,$E$8-1,-$F$25)))</f>
        <v>15717.876501795205</v>
      </c>
      <c r="I63" s="56">
        <f>IF(B62=$E$8,SUM($I$25:I62),IF(B62&gt;$E$8,"",G63+H63+P63))</f>
        <v>24828.436720519661</v>
      </c>
      <c r="J63" s="56" t="str">
        <f t="shared" si="21"/>
        <v/>
      </c>
      <c r="K63" s="56" t="str">
        <f t="shared" si="22"/>
        <v/>
      </c>
      <c r="L63" s="56" t="s">
        <v>144</v>
      </c>
      <c r="M63" s="56" t="str">
        <f t="shared" si="23"/>
        <v/>
      </c>
      <c r="N63" s="56" t="str">
        <f t="shared" si="17"/>
        <v/>
      </c>
      <c r="O63" s="56" t="str">
        <f t="shared" si="14"/>
        <v/>
      </c>
      <c r="P63" s="56">
        <f>IF(B62=$E$8,SUM($P$25:P62),IF(B62&gt;$E$8," ",$O$5*$E$6))</f>
        <v>0</v>
      </c>
      <c r="Q63" s="59" t="str">
        <f>IF(B62=$E$8,XIRR(I$24:I62,D$24:D62),"")</f>
        <v/>
      </c>
      <c r="R63" s="56" t="str">
        <f t="shared" si="13"/>
        <v/>
      </c>
      <c r="S63" s="56">
        <f t="shared" si="5"/>
        <v>24828.436720519661</v>
      </c>
      <c r="T63" s="21">
        <f t="shared" ca="1" si="6"/>
        <v>2028</v>
      </c>
      <c r="U63" s="21">
        <f t="shared" ca="1" si="7"/>
        <v>366</v>
      </c>
      <c r="V63" s="21">
        <f t="shared" ca="1" si="8"/>
        <v>10</v>
      </c>
      <c r="W63" s="60">
        <f t="shared" ca="1" si="9"/>
        <v>9</v>
      </c>
      <c r="X63" s="61">
        <f t="shared" ca="1" si="10"/>
        <v>20</v>
      </c>
    </row>
    <row r="64" spans="1:24" x14ac:dyDescent="0.25">
      <c r="A64" s="21">
        <v>39</v>
      </c>
      <c r="B64" s="58">
        <f t="shared" si="1"/>
        <v>40</v>
      </c>
      <c r="C64" s="55">
        <f t="shared" ca="1" si="20"/>
        <v>46856</v>
      </c>
      <c r="D64" s="55">
        <f t="shared" ca="1" si="3"/>
        <v>46853</v>
      </c>
      <c r="E64" s="58">
        <f t="shared" ca="1" si="4"/>
        <v>31</v>
      </c>
      <c r="F64" s="56">
        <f t="shared" si="19"/>
        <v>318466.73243863089</v>
      </c>
      <c r="G64" s="56">
        <f>IF(B63=$E$8,SUM($G$24:G63),IF(B63&gt;$E$8+1,"",PPMT($E$11/12,A64,$E$8-1,-$F$25)))</f>
        <v>9535.3400889224831</v>
      </c>
      <c r="H64" s="56">
        <f>IF(B63=$E$8,SUM($H$24:H63),IF(B63&gt;$E$8,"",IPMT($E$11/12,A64,$E$8-1,-$F$25)))</f>
        <v>15293.096631597173</v>
      </c>
      <c r="I64" s="56">
        <f>IF(B63=$E$8,SUM($I$25:I63),IF(B63&gt;$E$8,"",G64+H64+P64))</f>
        <v>24828.436720519654</v>
      </c>
      <c r="J64" s="56" t="str">
        <f t="shared" si="21"/>
        <v/>
      </c>
      <c r="K64" s="56" t="str">
        <f t="shared" si="22"/>
        <v/>
      </c>
      <c r="L64" s="56" t="s">
        <v>144</v>
      </c>
      <c r="M64" s="56" t="str">
        <f t="shared" si="23"/>
        <v/>
      </c>
      <c r="N64" s="56" t="str">
        <f t="shared" si="17"/>
        <v/>
      </c>
      <c r="O64" s="56" t="str">
        <f t="shared" si="14"/>
        <v/>
      </c>
      <c r="P64" s="56">
        <f>IF(B63=$E$8,SUM($P$25:P63),IF(B63&gt;$E$8," ",$O$5*$E$6))</f>
        <v>0</v>
      </c>
      <c r="Q64" s="59" t="str">
        <f>IF(B63=$E$8,XIRR(I$24:I63,D$24:D63),"")</f>
        <v/>
      </c>
      <c r="R64" s="56" t="str">
        <f t="shared" si="13"/>
        <v/>
      </c>
      <c r="S64" s="56">
        <f t="shared" si="5"/>
        <v>24828.436720519654</v>
      </c>
      <c r="T64" s="21">
        <f t="shared" ca="1" si="6"/>
        <v>2028</v>
      </c>
      <c r="U64" s="21">
        <f t="shared" ca="1" si="7"/>
        <v>366</v>
      </c>
      <c r="V64" s="21">
        <f t="shared" ca="1" si="8"/>
        <v>10</v>
      </c>
      <c r="W64" s="60">
        <f t="shared" ca="1" si="9"/>
        <v>9</v>
      </c>
      <c r="X64" s="61">
        <f t="shared" ca="1" si="10"/>
        <v>22</v>
      </c>
    </row>
    <row r="65" spans="1:24" x14ac:dyDescent="0.25">
      <c r="A65" s="21">
        <v>40</v>
      </c>
      <c r="B65" s="58">
        <f t="shared" si="1"/>
        <v>41</v>
      </c>
      <c r="C65" s="55">
        <f t="shared" ca="1" si="20"/>
        <v>46886</v>
      </c>
      <c r="D65" s="55">
        <f t="shared" ca="1" si="3"/>
        <v>46883</v>
      </c>
      <c r="E65" s="58">
        <f t="shared" ca="1" si="4"/>
        <v>30</v>
      </c>
      <c r="F65" s="56">
        <f t="shared" si="19"/>
        <v>308486.8071180624</v>
      </c>
      <c r="G65" s="56">
        <f>IF(B64=$E$8,SUM($G$24:G64),IF(B64&gt;$E$8+1,"",PPMT($E$11/12,A65,$E$8-1,-$F$25)))</f>
        <v>9979.9253205684963</v>
      </c>
      <c r="H65" s="56">
        <f>IF(B64=$E$8,SUM($H$24:H64),IF(B64&gt;$E$8,"",IPMT($E$11/12,A65,$E$8-1,-$F$25)))</f>
        <v>14848.511399951163</v>
      </c>
      <c r="I65" s="56">
        <f>IF(B64=$E$8,SUM($I$25:I64),IF(B64&gt;$E$8,"",G65+H65+P65))</f>
        <v>24828.436720519661</v>
      </c>
      <c r="J65" s="56" t="str">
        <f t="shared" si="21"/>
        <v/>
      </c>
      <c r="K65" s="56" t="str">
        <f t="shared" si="22"/>
        <v/>
      </c>
      <c r="L65" s="56" t="s">
        <v>144</v>
      </c>
      <c r="M65" s="56" t="str">
        <f t="shared" si="23"/>
        <v/>
      </c>
      <c r="N65" s="56" t="str">
        <f t="shared" si="17"/>
        <v/>
      </c>
      <c r="O65" s="56" t="str">
        <f t="shared" si="14"/>
        <v/>
      </c>
      <c r="P65" s="56">
        <f>IF(B64=$E$8,SUM($P$25:P64),IF(B64&gt;$E$8," ",$O$5*$E$6))</f>
        <v>0</v>
      </c>
      <c r="Q65" s="59" t="str">
        <f>IF(B64=$E$8,XIRR(I$24:I64,D$24:D64),"")</f>
        <v/>
      </c>
      <c r="R65" s="56" t="str">
        <f t="shared" si="13"/>
        <v/>
      </c>
      <c r="S65" s="56">
        <f t="shared" si="5"/>
        <v>24828.436720519661</v>
      </c>
      <c r="T65" s="21">
        <f t="shared" ca="1" si="6"/>
        <v>2028</v>
      </c>
      <c r="U65" s="21">
        <f t="shared" ca="1" si="7"/>
        <v>366</v>
      </c>
      <c r="V65" s="21">
        <f t="shared" ca="1" si="8"/>
        <v>10</v>
      </c>
      <c r="W65" s="60">
        <f t="shared" ca="1" si="9"/>
        <v>9</v>
      </c>
      <c r="X65" s="61">
        <f t="shared" ca="1" si="10"/>
        <v>21</v>
      </c>
    </row>
    <row r="66" spans="1:24" x14ac:dyDescent="0.25">
      <c r="A66" s="21">
        <v>41</v>
      </c>
      <c r="B66" s="58">
        <f t="shared" si="1"/>
        <v>42</v>
      </c>
      <c r="C66" s="55">
        <f t="shared" ca="1" si="20"/>
        <v>46917</v>
      </c>
      <c r="D66" s="55">
        <f t="shared" ca="1" si="3"/>
        <v>46914</v>
      </c>
      <c r="E66" s="58">
        <f t="shared" ca="1" si="4"/>
        <v>31</v>
      </c>
      <c r="F66" s="56">
        <f t="shared" si="19"/>
        <v>298041.56777942239</v>
      </c>
      <c r="G66" s="56">
        <f>IF(B65=$E$8,SUM($G$24:G65),IF(B65&gt;$E$8+1,"",PPMT($E$11/12,A66,$E$8-1,-$F$25)))</f>
        <v>10445.239338640002</v>
      </c>
      <c r="H66" s="56">
        <f>IF(B65=$E$8,SUM($H$24:H65),IF(B65&gt;$E$8,"",IPMT($E$11/12,A66,$E$8-1,-$F$25)))</f>
        <v>14383.197381879654</v>
      </c>
      <c r="I66" s="56">
        <f>IF(B65=$E$8,SUM($I$25:I65),IF(B65&gt;$E$8,"",G66+H66+P66))</f>
        <v>24828.436720519654</v>
      </c>
      <c r="J66" s="56" t="str">
        <f t="shared" si="21"/>
        <v/>
      </c>
      <c r="K66" s="56" t="str">
        <f t="shared" si="22"/>
        <v/>
      </c>
      <c r="L66" s="56" t="s">
        <v>144</v>
      </c>
      <c r="M66" s="56" t="str">
        <f t="shared" si="23"/>
        <v/>
      </c>
      <c r="N66" s="56" t="str">
        <f t="shared" si="17"/>
        <v/>
      </c>
      <c r="O66" s="56" t="str">
        <f t="shared" si="14"/>
        <v/>
      </c>
      <c r="P66" s="56">
        <f>IF(B65=$E$8,SUM($P$25:P65),IF(B65&gt;$E$8," ",$O$5*$E$6))</f>
        <v>0</v>
      </c>
      <c r="Q66" s="59" t="str">
        <f>IF(B65=$E$8,XIRR(I$24:I65,D$24:D65),"")</f>
        <v/>
      </c>
      <c r="R66" s="56" t="str">
        <f t="shared" si="13"/>
        <v/>
      </c>
      <c r="S66" s="56">
        <f t="shared" si="5"/>
        <v>24828.436720519654</v>
      </c>
      <c r="T66" s="21">
        <f t="shared" ca="1" si="6"/>
        <v>2028</v>
      </c>
      <c r="U66" s="21">
        <f t="shared" ca="1" si="7"/>
        <v>366</v>
      </c>
      <c r="V66" s="21">
        <f t="shared" ca="1" si="8"/>
        <v>10</v>
      </c>
      <c r="W66" s="60">
        <f t="shared" ca="1" si="9"/>
        <v>9</v>
      </c>
      <c r="X66" s="61">
        <f t="shared" ca="1" si="10"/>
        <v>22</v>
      </c>
    </row>
    <row r="67" spans="1:24" x14ac:dyDescent="0.25">
      <c r="A67" s="21">
        <v>42</v>
      </c>
      <c r="B67" s="58">
        <f t="shared" si="1"/>
        <v>43</v>
      </c>
      <c r="C67" s="55">
        <f t="shared" ca="1" si="20"/>
        <v>46947</v>
      </c>
      <c r="D67" s="55">
        <f t="shared" ca="1" si="3"/>
        <v>46944</v>
      </c>
      <c r="E67" s="58">
        <f t="shared" ca="1" si="4"/>
        <v>30</v>
      </c>
      <c r="F67" s="56">
        <f t="shared" si="19"/>
        <v>287109.31915661832</v>
      </c>
      <c r="G67" s="56">
        <f>IF(B66=$E$8,SUM($G$24:G66),IF(B66&gt;$E$8+1,"",PPMT($E$11/12,A67,$E$8-1,-$F$25)))</f>
        <v>10932.248622804091</v>
      </c>
      <c r="H67" s="56">
        <f>IF(B66=$E$8,SUM($H$24:H66),IF(B66&gt;$E$8,"",IPMT($E$11/12,A67,$E$8-1,-$F$25)))</f>
        <v>13896.188097715567</v>
      </c>
      <c r="I67" s="56">
        <f>IF(B66=$E$8,SUM($I$25:I66),IF(B66&gt;$E$8,"",G67+H67+P67))</f>
        <v>24828.436720519658</v>
      </c>
      <c r="J67" s="56" t="str">
        <f t="shared" si="21"/>
        <v/>
      </c>
      <c r="K67" s="56" t="str">
        <f t="shared" si="22"/>
        <v/>
      </c>
      <c r="L67" s="56" t="s">
        <v>144</v>
      </c>
      <c r="M67" s="56" t="str">
        <f t="shared" si="23"/>
        <v/>
      </c>
      <c r="N67" s="56" t="str">
        <f t="shared" si="17"/>
        <v/>
      </c>
      <c r="O67" s="56" t="str">
        <f t="shared" si="14"/>
        <v/>
      </c>
      <c r="P67" s="56">
        <f>IF(B66=$E$8,SUM($P$25:P66),IF(B66&gt;$E$8," ",$O$5*$E$6))</f>
        <v>0</v>
      </c>
      <c r="Q67" s="59" t="str">
        <f>IF(B66=$E$8,XIRR(I$24:I66,D$24:D66),"")</f>
        <v/>
      </c>
      <c r="R67" s="56" t="str">
        <f t="shared" si="13"/>
        <v/>
      </c>
      <c r="S67" s="56">
        <f t="shared" si="5"/>
        <v>24828.436720519658</v>
      </c>
      <c r="T67" s="21">
        <f t="shared" ca="1" si="6"/>
        <v>2028</v>
      </c>
      <c r="U67" s="21">
        <f t="shared" ca="1" si="7"/>
        <v>366</v>
      </c>
      <c r="V67" s="21">
        <f t="shared" ca="1" si="8"/>
        <v>10</v>
      </c>
      <c r="W67" s="60">
        <f t="shared" ca="1" si="9"/>
        <v>9</v>
      </c>
      <c r="X67" s="61">
        <f t="shared" ca="1" si="10"/>
        <v>21</v>
      </c>
    </row>
    <row r="68" spans="1:24" x14ac:dyDescent="0.25">
      <c r="A68" s="21">
        <v>43</v>
      </c>
      <c r="B68" s="58">
        <f t="shared" si="1"/>
        <v>44</v>
      </c>
      <c r="C68" s="55">
        <f t="shared" ca="1" si="20"/>
        <v>46978</v>
      </c>
      <c r="D68" s="55">
        <f t="shared" ca="1" si="3"/>
        <v>46975</v>
      </c>
      <c r="E68" s="58">
        <f t="shared" ca="1" si="4"/>
        <v>31</v>
      </c>
      <c r="F68" s="56">
        <f t="shared" si="19"/>
        <v>275667.354441776</v>
      </c>
      <c r="G68" s="56">
        <f>IF(B67=$E$8,SUM($G$24:G67),IF(B67&gt;$E$8+1,"",PPMT($E$11/12,A68,$E$8-1,-$F$25)))</f>
        <v>11441.964714842332</v>
      </c>
      <c r="H68" s="56">
        <f>IF(B67=$E$8,SUM($H$24:H67),IF(B67&gt;$E$8,"",IPMT($E$11/12,A68,$E$8-1,-$F$25)))</f>
        <v>13386.472005677326</v>
      </c>
      <c r="I68" s="56">
        <f>IF(B67=$E$8,SUM($I$25:I67),IF(B67&gt;$E$8,"",G68+H68+P68))</f>
        <v>24828.436720519658</v>
      </c>
      <c r="J68" s="56" t="str">
        <f t="shared" si="21"/>
        <v/>
      </c>
      <c r="K68" s="56" t="str">
        <f t="shared" si="22"/>
        <v/>
      </c>
      <c r="L68" s="56" t="s">
        <v>144</v>
      </c>
      <c r="M68" s="56" t="str">
        <f t="shared" si="23"/>
        <v/>
      </c>
      <c r="N68" s="56" t="str">
        <f t="shared" si="17"/>
        <v/>
      </c>
      <c r="O68" s="56" t="str">
        <f t="shared" si="14"/>
        <v/>
      </c>
      <c r="P68" s="56">
        <f>IF(B67=$E$8,SUM($P$25:P67),IF(B67&gt;$E$8," ",$O$5*$E$6))</f>
        <v>0</v>
      </c>
      <c r="Q68" s="59" t="str">
        <f>IF(B67=$E$8,XIRR(I$24:I67,D$24:D67),"")</f>
        <v/>
      </c>
      <c r="R68" s="56" t="str">
        <f t="shared" si="13"/>
        <v/>
      </c>
      <c r="S68" s="56">
        <f t="shared" si="5"/>
        <v>24828.436720519658</v>
      </c>
      <c r="T68" s="21">
        <f t="shared" ca="1" si="6"/>
        <v>2028</v>
      </c>
      <c r="U68" s="21">
        <f t="shared" ca="1" si="7"/>
        <v>366</v>
      </c>
      <c r="V68" s="21">
        <f t="shared" ca="1" si="8"/>
        <v>10</v>
      </c>
      <c r="W68" s="60">
        <f t="shared" ca="1" si="9"/>
        <v>9</v>
      </c>
      <c r="X68" s="61">
        <f t="shared" ca="1" si="10"/>
        <v>22</v>
      </c>
    </row>
    <row r="69" spans="1:24" x14ac:dyDescent="0.25">
      <c r="A69" s="21">
        <v>44</v>
      </c>
      <c r="B69" s="58">
        <f t="shared" si="1"/>
        <v>45</v>
      </c>
      <c r="C69" s="55">
        <f t="shared" ca="1" si="20"/>
        <v>47009</v>
      </c>
      <c r="D69" s="55">
        <f t="shared" ca="1" si="3"/>
        <v>47006</v>
      </c>
      <c r="E69" s="58">
        <f t="shared" ca="1" si="4"/>
        <v>31</v>
      </c>
      <c r="F69" s="56">
        <f t="shared" si="19"/>
        <v>263691.90812210413</v>
      </c>
      <c r="G69" s="56">
        <f>IF(B68=$E$8,SUM($G$24:G68),IF(B68&gt;$E$8+1,"",PPMT($E$11/12,A69,$E$8-1,-$F$25)))</f>
        <v>11975.446319671855</v>
      </c>
      <c r="H69" s="56">
        <f>IF(B68=$E$8,SUM($H$24:H68),IF(B68&gt;$E$8,"",IPMT($E$11/12,A69,$E$8-1,-$F$25)))</f>
        <v>12852.990400847801</v>
      </c>
      <c r="I69" s="56">
        <f>IF(B68=$E$8,SUM($I$25:I68),IF(B68&gt;$E$8,"",G69+H69+P69))</f>
        <v>24828.436720519654</v>
      </c>
      <c r="J69" s="56" t="str">
        <f t="shared" si="21"/>
        <v/>
      </c>
      <c r="K69" s="56" t="str">
        <f t="shared" si="22"/>
        <v/>
      </c>
      <c r="L69" s="56" t="s">
        <v>144</v>
      </c>
      <c r="M69" s="56" t="str">
        <f t="shared" si="23"/>
        <v/>
      </c>
      <c r="N69" s="56" t="str">
        <f t="shared" si="17"/>
        <v/>
      </c>
      <c r="O69" s="56" t="str">
        <f t="shared" si="14"/>
        <v/>
      </c>
      <c r="P69" s="56">
        <f>IF(B68=$E$8,SUM($P$25:P68),IF(B68&gt;$E$8," ",$O$5*$E$6))</f>
        <v>0</v>
      </c>
      <c r="Q69" s="59" t="str">
        <f>IF(B68=$E$8,XIRR(I$24:I68,D$24:D68),"")</f>
        <v/>
      </c>
      <c r="R69" s="56" t="str">
        <f t="shared" si="13"/>
        <v/>
      </c>
      <c r="S69" s="56">
        <f t="shared" si="5"/>
        <v>24828.436720519654</v>
      </c>
      <c r="T69" s="21">
        <f t="shared" ca="1" si="6"/>
        <v>2028</v>
      </c>
      <c r="U69" s="21">
        <f t="shared" ca="1" si="7"/>
        <v>366</v>
      </c>
      <c r="V69" s="21">
        <f t="shared" ca="1" si="8"/>
        <v>10</v>
      </c>
      <c r="W69" s="60">
        <f t="shared" ca="1" si="9"/>
        <v>9</v>
      </c>
      <c r="X69" s="61">
        <f t="shared" ca="1" si="10"/>
        <v>22</v>
      </c>
    </row>
    <row r="70" spans="1:24" x14ac:dyDescent="0.25">
      <c r="A70" s="21">
        <v>45</v>
      </c>
      <c r="B70" s="58">
        <f t="shared" si="1"/>
        <v>46</v>
      </c>
      <c r="C70" s="55">
        <f t="shared" ca="1" si="20"/>
        <v>47039</v>
      </c>
      <c r="D70" s="55">
        <f t="shared" ca="1" si="3"/>
        <v>47036</v>
      </c>
      <c r="E70" s="58">
        <f t="shared" ca="1" si="4"/>
        <v>30</v>
      </c>
      <c r="F70" s="56">
        <f t="shared" si="19"/>
        <v>251158.10661777758</v>
      </c>
      <c r="G70" s="56">
        <f>IF(B69=$E$8,SUM($G$24:G69),IF(B69&gt;$E$8+1,"",PPMT($E$11/12,A70,$E$8-1,-$F$25)))</f>
        <v>12533.801504326555</v>
      </c>
      <c r="H70" s="56">
        <f>IF(B69=$E$8,SUM($H$24:H69),IF(B69&gt;$E$8,"",IPMT($E$11/12,A70,$E$8-1,-$F$25)))</f>
        <v>12294.635216193103</v>
      </c>
      <c r="I70" s="56">
        <f>IF(B69=$E$8,SUM($I$25:I69),IF(B69&gt;$E$8,"",G70+H70+P70))</f>
        <v>24828.436720519658</v>
      </c>
      <c r="J70" s="56" t="str">
        <f t="shared" si="21"/>
        <v/>
      </c>
      <c r="K70" s="56" t="str">
        <f t="shared" si="22"/>
        <v/>
      </c>
      <c r="L70" s="56" t="s">
        <v>144</v>
      </c>
      <c r="M70" s="56" t="str">
        <f t="shared" si="23"/>
        <v/>
      </c>
      <c r="N70" s="56" t="str">
        <f t="shared" si="17"/>
        <v/>
      </c>
      <c r="O70" s="56" t="str">
        <f t="shared" si="14"/>
        <v/>
      </c>
      <c r="P70" s="56">
        <f>IF(B69=$E$8,SUM($P$25:P69),IF(B69&gt;$E$8," ",$O$5*$E$6))</f>
        <v>0</v>
      </c>
      <c r="Q70" s="59" t="str">
        <f>IF(B69=$E$8,XIRR(I$24:I69,D$24:D69),"")</f>
        <v/>
      </c>
      <c r="R70" s="56" t="str">
        <f t="shared" si="13"/>
        <v/>
      </c>
      <c r="S70" s="56">
        <f t="shared" si="5"/>
        <v>24828.436720519658</v>
      </c>
      <c r="T70" s="21">
        <f t="shared" ca="1" si="6"/>
        <v>2028</v>
      </c>
      <c r="U70" s="21">
        <f t="shared" ca="1" si="7"/>
        <v>366</v>
      </c>
      <c r="V70" s="21">
        <f t="shared" ca="1" si="8"/>
        <v>10</v>
      </c>
      <c r="W70" s="60">
        <f t="shared" ca="1" si="9"/>
        <v>9</v>
      </c>
      <c r="X70" s="61">
        <f t="shared" ca="1" si="10"/>
        <v>21</v>
      </c>
    </row>
    <row r="71" spans="1:24" x14ac:dyDescent="0.25">
      <c r="A71" s="21">
        <v>46</v>
      </c>
      <c r="B71" s="58">
        <f t="shared" si="1"/>
        <v>47</v>
      </c>
      <c r="C71" s="55">
        <f t="shared" ca="1" si="20"/>
        <v>47070</v>
      </c>
      <c r="D71" s="55">
        <f t="shared" ca="1" si="3"/>
        <v>47067</v>
      </c>
      <c r="E71" s="58">
        <f t="shared" ca="1" si="4"/>
        <v>31</v>
      </c>
      <c r="F71" s="56">
        <f t="shared" si="19"/>
        <v>238039.91661831181</v>
      </c>
      <c r="G71" s="56">
        <f>IF(B70=$E$8,SUM($G$24:G70),IF(B70&gt;$E$8+1,"",PPMT($E$11/12,A71,$E$8-1,-$F$25)))</f>
        <v>13118.189999465783</v>
      </c>
      <c r="H71" s="56">
        <f>IF(B70=$E$8,SUM($H$24:H70),IF(B70&gt;$E$8,"",IPMT($E$11/12,A71,$E$8-1,-$F$25)))</f>
        <v>11710.246721053876</v>
      </c>
      <c r="I71" s="56">
        <f>IF(B70=$E$8,SUM($I$25:I70),IF(B70&gt;$E$8,"",G71+H71+P71))</f>
        <v>24828.436720519661</v>
      </c>
      <c r="J71" s="56" t="str">
        <f t="shared" si="21"/>
        <v/>
      </c>
      <c r="K71" s="56" t="str">
        <f t="shared" si="22"/>
        <v/>
      </c>
      <c r="L71" s="56" t="s">
        <v>144</v>
      </c>
      <c r="M71" s="56" t="str">
        <f t="shared" si="23"/>
        <v/>
      </c>
      <c r="N71" s="56" t="str">
        <f t="shared" si="17"/>
        <v/>
      </c>
      <c r="O71" s="56" t="str">
        <f t="shared" si="14"/>
        <v/>
      </c>
      <c r="P71" s="56">
        <f>IF(B70=$E$8,SUM($P$25:P70),IF(B70&gt;$E$8," ",$O$5*$E$6))</f>
        <v>0</v>
      </c>
      <c r="Q71" s="59" t="str">
        <f>IF(B70=$E$8,XIRR(I$24:I70,D$24:D70),"")</f>
        <v/>
      </c>
      <c r="R71" s="56" t="str">
        <f t="shared" si="13"/>
        <v/>
      </c>
      <c r="S71" s="56">
        <f t="shared" si="5"/>
        <v>24828.436720519661</v>
      </c>
      <c r="T71" s="21">
        <f t="shared" ca="1" si="6"/>
        <v>2028</v>
      </c>
      <c r="U71" s="21">
        <f t="shared" ca="1" si="7"/>
        <v>366</v>
      </c>
      <c r="V71" s="21">
        <f t="shared" ca="1" si="8"/>
        <v>10</v>
      </c>
      <c r="W71" s="60">
        <f t="shared" ca="1" si="9"/>
        <v>9</v>
      </c>
      <c r="X71" s="61">
        <f t="shared" ca="1" si="10"/>
        <v>22</v>
      </c>
    </row>
    <row r="72" spans="1:24" x14ac:dyDescent="0.25">
      <c r="A72" s="21">
        <v>47</v>
      </c>
      <c r="B72" s="58">
        <f t="shared" si="1"/>
        <v>48</v>
      </c>
      <c r="C72" s="55">
        <f t="shared" ca="1" si="20"/>
        <v>47100</v>
      </c>
      <c r="D72" s="55">
        <f t="shared" ca="1" si="3"/>
        <v>47097</v>
      </c>
      <c r="E72" s="58">
        <f t="shared" ca="1" si="4"/>
        <v>30</v>
      </c>
      <c r="F72" s="56">
        <f t="shared" si="19"/>
        <v>224310.09101012093</v>
      </c>
      <c r="G72" s="56">
        <f>IF(B71=$E$8,SUM($G$24:G71),IF(B71&gt;$E$8+1,"",PPMT($E$11/12,A72,$E$8-1,-$F$25)))</f>
        <v>13729.825608190875</v>
      </c>
      <c r="H72" s="56">
        <f>IF(B71=$E$8,SUM($H$24:H71),IF(B71&gt;$E$8,"",IPMT($E$11/12,A72,$E$8-1,-$F$25)))</f>
        <v>11098.611112328785</v>
      </c>
      <c r="I72" s="56">
        <f>IF(B71=$E$8,SUM($I$25:I71),IF(B71&gt;$E$8,"",G72+H72+P72))</f>
        <v>24828.436720519661</v>
      </c>
      <c r="J72" s="56" t="str">
        <f t="shared" si="21"/>
        <v/>
      </c>
      <c r="K72" s="56" t="str">
        <f t="shared" si="22"/>
        <v/>
      </c>
      <c r="L72" s="56" t="s">
        <v>144</v>
      </c>
      <c r="M72" s="56" t="str">
        <f t="shared" si="23"/>
        <v/>
      </c>
      <c r="N72" s="56" t="str">
        <f t="shared" si="17"/>
        <v/>
      </c>
      <c r="O72" s="56" t="str">
        <f t="shared" si="14"/>
        <v/>
      </c>
      <c r="P72" s="56">
        <f>IF(B71=$E$8,SUM($P$25:P71),IF(B71&gt;$E$8," ",$O$5*$E$6))</f>
        <v>0</v>
      </c>
      <c r="Q72" s="59" t="str">
        <f>IF(B71=$E$8,XIRR(I$24:I71,D$24:D71),"")</f>
        <v/>
      </c>
      <c r="R72" s="56" t="str">
        <f t="shared" si="13"/>
        <v/>
      </c>
      <c r="S72" s="56">
        <f t="shared" si="5"/>
        <v>24828.436720519661</v>
      </c>
      <c r="T72" s="21">
        <f t="shared" ca="1" si="6"/>
        <v>2028</v>
      </c>
      <c r="U72" s="21">
        <f t="shared" ca="1" si="7"/>
        <v>366</v>
      </c>
      <c r="V72" s="21">
        <f t="shared" ca="1" si="8"/>
        <v>10</v>
      </c>
      <c r="W72" s="60">
        <f t="shared" ca="1" si="9"/>
        <v>9</v>
      </c>
      <c r="X72" s="61">
        <f t="shared" ca="1" si="10"/>
        <v>21</v>
      </c>
    </row>
    <row r="73" spans="1:24" x14ac:dyDescent="0.25">
      <c r="A73" s="21">
        <v>48</v>
      </c>
      <c r="B73" s="58">
        <f t="shared" si="1"/>
        <v>49</v>
      </c>
      <c r="C73" s="55">
        <f t="shared" ca="1" si="20"/>
        <v>47131</v>
      </c>
      <c r="D73" s="55">
        <f t="shared" ca="1" si="3"/>
        <v>47128</v>
      </c>
      <c r="E73" s="58">
        <f t="shared" ca="1" si="4"/>
        <v>31</v>
      </c>
      <c r="F73" s="56">
        <f t="shared" si="19"/>
        <v>209940.11228294816</v>
      </c>
      <c r="G73" s="56">
        <f>IF(B72=$E$8,SUM($G$24:G72),IF(B72&gt;$E$8+1,"",PPMT($E$11/12,A73,$E$8-1,-$F$25)))</f>
        <v>14369.978727172775</v>
      </c>
      <c r="H73" s="56">
        <f>IF(B72=$E$8,SUM($H$24:H72),IF(B72&gt;$E$8,"",IPMT($E$11/12,A73,$E$8-1,-$F$25)))</f>
        <v>10458.457993346887</v>
      </c>
      <c r="I73" s="56">
        <f>IF(B72=$E$8,SUM($I$25:I72),IF(B72&gt;$E$8,"",G73+H73+P73))</f>
        <v>24828.436720519661</v>
      </c>
      <c r="J73" s="56" t="str">
        <f t="shared" si="21"/>
        <v/>
      </c>
      <c r="K73" s="56">
        <f>IF($E$8&gt;B72,$O$9,IF(B72=48,SUM($K$24:K72)," "))</f>
        <v>0</v>
      </c>
      <c r="L73" s="56">
        <f>IF($E$8&gt;48,($P$8+$O$10*F72),IF($B$72=$E$8,$L$37+$L$24+$L$49+$L$61,""))</f>
        <v>0</v>
      </c>
      <c r="M73" s="56" t="str">
        <f t="shared" si="23"/>
        <v/>
      </c>
      <c r="N73" s="56" t="str">
        <f t="shared" si="17"/>
        <v/>
      </c>
      <c r="O73" s="56" t="str">
        <f t="shared" si="14"/>
        <v/>
      </c>
      <c r="P73" s="56">
        <f>IF(B72=$E$8,SUM($P$25:P72),IF(B72&gt;$E$8," ",$O$5*$E$6))</f>
        <v>0</v>
      </c>
      <c r="Q73" s="59" t="str">
        <f>IF(B72=$E$8,XIRR(I$24:I72,D$24:D72),"")</f>
        <v/>
      </c>
      <c r="R73" s="56" t="str">
        <f t="shared" si="13"/>
        <v/>
      </c>
      <c r="S73" s="56">
        <f t="shared" si="5"/>
        <v>24828.436720519661</v>
      </c>
      <c r="T73" s="21">
        <f t="shared" ca="1" si="6"/>
        <v>2029</v>
      </c>
      <c r="U73" s="21">
        <f t="shared" ca="1" si="7"/>
        <v>365</v>
      </c>
      <c r="V73" s="21">
        <f t="shared" ca="1" si="8"/>
        <v>10</v>
      </c>
      <c r="W73" s="60">
        <f t="shared" ca="1" si="9"/>
        <v>9</v>
      </c>
      <c r="X73" s="61">
        <f t="shared" ca="1" si="10"/>
        <v>22</v>
      </c>
    </row>
    <row r="74" spans="1:24" x14ac:dyDescent="0.25">
      <c r="A74" s="21">
        <v>49</v>
      </c>
      <c r="B74" s="58">
        <f t="shared" si="1"/>
        <v>50</v>
      </c>
      <c r="C74" s="55">
        <f t="shared" ca="1" si="20"/>
        <v>47162</v>
      </c>
      <c r="D74" s="55">
        <f t="shared" ca="1" si="3"/>
        <v>47159</v>
      </c>
      <c r="E74" s="58">
        <f t="shared" ca="1" si="4"/>
        <v>31</v>
      </c>
      <c r="F74" s="56">
        <f t="shared" si="19"/>
        <v>194900.13329762095</v>
      </c>
      <c r="G74" s="56">
        <f>IF(B73=$E$8,SUM($G$24:G73),IF(B73&gt;$E$8+1,"",PPMT($E$11/12,A74,$E$8-1,-$F$25)))</f>
        <v>15039.978985327205</v>
      </c>
      <c r="H74" s="56">
        <f>IF(B73=$E$8,SUM($H$24:H73),IF(B73&gt;$E$8,"",IPMT($E$11/12,A74,$E$8-1,-$F$25)))</f>
        <v>9788.4577351924563</v>
      </c>
      <c r="I74" s="56">
        <f>IF(B73=$E$8,SUM($I$25:I73),IF(B73&gt;$E$8,"",G74+H74+P74))</f>
        <v>24828.436720519661</v>
      </c>
      <c r="J74" s="56" t="str">
        <f t="shared" si="21"/>
        <v/>
      </c>
      <c r="K74" s="56" t="str">
        <f t="shared" si="22"/>
        <v/>
      </c>
      <c r="L74" s="56" t="s">
        <v>144</v>
      </c>
      <c r="M74" s="56" t="str">
        <f t="shared" si="23"/>
        <v/>
      </c>
      <c r="N74" s="56" t="str">
        <f t="shared" si="17"/>
        <v/>
      </c>
      <c r="O74" s="56" t="str">
        <f t="shared" si="14"/>
        <v/>
      </c>
      <c r="P74" s="56">
        <f>IF(B73=$E$8,SUM($P$25:P73),IF(B73&gt;$E$8," ",$O$5*$E$6))</f>
        <v>0</v>
      </c>
      <c r="Q74" s="59" t="str">
        <f>IF(B73=$E$8,XIRR(I$24:I73,D$24:D73),"")</f>
        <v/>
      </c>
      <c r="R74" s="56" t="str">
        <f t="shared" si="13"/>
        <v/>
      </c>
      <c r="S74" s="56">
        <f t="shared" si="5"/>
        <v>24828.436720519661</v>
      </c>
      <c r="T74" s="21">
        <f t="shared" ca="1" si="6"/>
        <v>2029</v>
      </c>
      <c r="U74" s="21">
        <f t="shared" ca="1" si="7"/>
        <v>365</v>
      </c>
      <c r="V74" s="21">
        <f t="shared" ca="1" si="8"/>
        <v>10</v>
      </c>
      <c r="W74" s="60">
        <f t="shared" ca="1" si="9"/>
        <v>9</v>
      </c>
      <c r="X74" s="61">
        <f t="shared" ca="1" si="10"/>
        <v>22</v>
      </c>
    </row>
    <row r="75" spans="1:24" x14ac:dyDescent="0.25">
      <c r="A75" s="21">
        <v>50</v>
      </c>
      <c r="B75" s="58">
        <f t="shared" si="1"/>
        <v>51</v>
      </c>
      <c r="C75" s="55">
        <f t="shared" ca="1" si="20"/>
        <v>47190</v>
      </c>
      <c r="D75" s="55">
        <f t="shared" ca="1" si="3"/>
        <v>47187</v>
      </c>
      <c r="E75" s="58">
        <f t="shared" ca="1" si="4"/>
        <v>28</v>
      </c>
      <c r="F75" s="56">
        <f t="shared" si="19"/>
        <v>179158.91529210287</v>
      </c>
      <c r="G75" s="56">
        <f>IF(B74=$E$8,SUM($G$24:G74),IF(B74&gt;$E$8+1,"",PPMT($E$11/12,A75,$E$8-1,-$F$25)))</f>
        <v>15741.218005518085</v>
      </c>
      <c r="H75" s="56">
        <f>IF(B74=$E$8,SUM($H$24:H74),IF(B74&gt;$E$8,"",IPMT($E$11/12,A75,$E$8-1,-$F$25)))</f>
        <v>9087.2187150015725</v>
      </c>
      <c r="I75" s="56">
        <f>IF(B74=$E$8,SUM($I$25:I74),IF(B74&gt;$E$8,"",G75+H75+P75))</f>
        <v>24828.436720519658</v>
      </c>
      <c r="J75" s="56" t="str">
        <f t="shared" si="21"/>
        <v/>
      </c>
      <c r="K75" s="56" t="str">
        <f t="shared" si="22"/>
        <v/>
      </c>
      <c r="L75" s="56" t="s">
        <v>144</v>
      </c>
      <c r="M75" s="56" t="str">
        <f t="shared" si="23"/>
        <v/>
      </c>
      <c r="N75" s="56" t="str">
        <f t="shared" si="17"/>
        <v/>
      </c>
      <c r="O75" s="56" t="str">
        <f t="shared" si="14"/>
        <v/>
      </c>
      <c r="P75" s="56">
        <f>IF(B74=$E$8,SUM($P$25:P74),IF(B74&gt;$E$8," ",$O$5*$E$6))</f>
        <v>0</v>
      </c>
      <c r="Q75" s="59" t="str">
        <f>IF(B74=$E$8,XIRR(I$24:I74,D$24:D74),"")</f>
        <v/>
      </c>
      <c r="R75" s="56" t="str">
        <f t="shared" si="13"/>
        <v/>
      </c>
      <c r="S75" s="56">
        <f t="shared" si="5"/>
        <v>24828.436720519658</v>
      </c>
      <c r="T75" s="21">
        <f t="shared" ca="1" si="6"/>
        <v>2029</v>
      </c>
      <c r="U75" s="21">
        <f t="shared" ca="1" si="7"/>
        <v>365</v>
      </c>
      <c r="V75" s="21">
        <f t="shared" ca="1" si="8"/>
        <v>10</v>
      </c>
      <c r="W75" s="60">
        <f t="shared" ca="1" si="9"/>
        <v>9</v>
      </c>
      <c r="X75" s="61">
        <f t="shared" ca="1" si="10"/>
        <v>19</v>
      </c>
    </row>
    <row r="76" spans="1:24" x14ac:dyDescent="0.25">
      <c r="A76" s="21">
        <v>51</v>
      </c>
      <c r="B76" s="58">
        <f t="shared" si="1"/>
        <v>52</v>
      </c>
      <c r="C76" s="55">
        <f t="shared" ca="1" si="20"/>
        <v>47221</v>
      </c>
      <c r="D76" s="55">
        <f t="shared" ca="1" si="3"/>
        <v>47218</v>
      </c>
      <c r="E76" s="58">
        <f t="shared" ca="1" si="4"/>
        <v>31</v>
      </c>
      <c r="F76" s="56">
        <f t="shared" si="19"/>
        <v>162683.76299707752</v>
      </c>
      <c r="G76" s="56">
        <f>IF(B75=$E$8,SUM($G$24:G75),IF(B75&gt;$E$8+1,"",PPMT($E$11/12,A76,$E$8-1,-$F$25)))</f>
        <v>16475.152295025364</v>
      </c>
      <c r="H76" s="56">
        <f>IF(B75=$E$8,SUM($H$24:H75),IF(B75&gt;$E$8,"",IPMT($E$11/12,A76,$E$8-1,-$F$25)))</f>
        <v>8353.2844254942938</v>
      </c>
      <c r="I76" s="56">
        <f>IF(B75=$E$8,SUM($I$25:I75),IF(B75&gt;$E$8,"",G76+H76+P76))</f>
        <v>24828.436720519658</v>
      </c>
      <c r="J76" s="56" t="str">
        <f t="shared" si="21"/>
        <v/>
      </c>
      <c r="K76" s="56" t="str">
        <f t="shared" si="22"/>
        <v/>
      </c>
      <c r="L76" s="56" t="s">
        <v>144</v>
      </c>
      <c r="M76" s="56" t="str">
        <f t="shared" si="23"/>
        <v/>
      </c>
      <c r="N76" s="56" t="str">
        <f t="shared" si="17"/>
        <v/>
      </c>
      <c r="O76" s="56" t="str">
        <f t="shared" si="14"/>
        <v/>
      </c>
      <c r="P76" s="56">
        <f>IF(B75=$E$8,SUM($P$25:P75),IF(B75&gt;$E$8," ",$O$5*$E$6))</f>
        <v>0</v>
      </c>
      <c r="Q76" s="59" t="str">
        <f>IF(B75=$E$8,XIRR(I$24:I75,D$24:D75),"")</f>
        <v/>
      </c>
      <c r="R76" s="56" t="str">
        <f t="shared" si="13"/>
        <v/>
      </c>
      <c r="S76" s="56">
        <f t="shared" si="5"/>
        <v>24828.436720519658</v>
      </c>
      <c r="T76" s="21">
        <f t="shared" ca="1" si="6"/>
        <v>2029</v>
      </c>
      <c r="U76" s="21">
        <f t="shared" ca="1" si="7"/>
        <v>365</v>
      </c>
      <c r="V76" s="21">
        <f t="shared" ca="1" si="8"/>
        <v>10</v>
      </c>
      <c r="W76" s="60">
        <f t="shared" ca="1" si="9"/>
        <v>9</v>
      </c>
      <c r="X76" s="61">
        <f t="shared" ca="1" si="10"/>
        <v>22</v>
      </c>
    </row>
    <row r="77" spans="1:24" x14ac:dyDescent="0.25">
      <c r="A77" s="21">
        <v>52</v>
      </c>
      <c r="B77" s="58">
        <f t="shared" si="1"/>
        <v>53</v>
      </c>
      <c r="C77" s="55">
        <f t="shared" ca="1" si="20"/>
        <v>47251</v>
      </c>
      <c r="D77" s="55">
        <f t="shared" ca="1" si="3"/>
        <v>47248</v>
      </c>
      <c r="E77" s="58">
        <f t="shared" ca="1" si="4"/>
        <v>30</v>
      </c>
      <c r="F77" s="56">
        <f t="shared" si="19"/>
        <v>145440.4567262966</v>
      </c>
      <c r="G77" s="56">
        <f>IF(B76=$E$8,SUM($G$24:G76),IF(B76&gt;$E$8+1,"",PPMT($E$11/12,A77,$E$8-1,-$F$25)))</f>
        <v>17243.306270780922</v>
      </c>
      <c r="H77" s="56">
        <f>IF(B76=$E$8,SUM($H$24:H76),IF(B76&gt;$E$8,"",IPMT($E$11/12,A77,$E$8-1,-$F$25)))</f>
        <v>7585.1304497387364</v>
      </c>
      <c r="I77" s="56">
        <f>IF(B76=$E$8,SUM($I$25:I76),IF(B76&gt;$E$8,"",G77+H77+P77))</f>
        <v>24828.436720519658</v>
      </c>
      <c r="J77" s="56" t="str">
        <f t="shared" si="21"/>
        <v/>
      </c>
      <c r="K77" s="56" t="str">
        <f t="shared" si="22"/>
        <v/>
      </c>
      <c r="L77" s="56" t="s">
        <v>144</v>
      </c>
      <c r="M77" s="56" t="str">
        <f t="shared" si="23"/>
        <v/>
      </c>
      <c r="N77" s="56" t="str">
        <f t="shared" si="17"/>
        <v/>
      </c>
      <c r="O77" s="56" t="str">
        <f t="shared" si="14"/>
        <v/>
      </c>
      <c r="P77" s="56">
        <f>IF(B76=$E$8,SUM($P$25:P76),IF(B76&gt;$E$8," ",$O$5*$E$6))</f>
        <v>0</v>
      </c>
      <c r="Q77" s="59" t="str">
        <f>IF(B76=$E$8,XIRR(I$24:I76,D$24:D76),"")</f>
        <v/>
      </c>
      <c r="R77" s="56" t="str">
        <f t="shared" si="13"/>
        <v/>
      </c>
      <c r="S77" s="56">
        <f t="shared" si="5"/>
        <v>24828.436720519658</v>
      </c>
      <c r="T77" s="21">
        <f t="shared" ca="1" si="6"/>
        <v>2029</v>
      </c>
      <c r="U77" s="21">
        <f t="shared" ca="1" si="7"/>
        <v>365</v>
      </c>
      <c r="V77" s="21">
        <f t="shared" ca="1" si="8"/>
        <v>10</v>
      </c>
      <c r="W77" s="60">
        <f t="shared" ca="1" si="9"/>
        <v>9</v>
      </c>
      <c r="X77" s="61">
        <f t="shared" ca="1" si="10"/>
        <v>21</v>
      </c>
    </row>
    <row r="78" spans="1:24" x14ac:dyDescent="0.25">
      <c r="A78" s="21">
        <v>53</v>
      </c>
      <c r="B78" s="58">
        <f t="shared" si="1"/>
        <v>54</v>
      </c>
      <c r="C78" s="55">
        <f t="shared" ca="1" si="20"/>
        <v>47282</v>
      </c>
      <c r="D78" s="55">
        <f t="shared" ca="1" si="3"/>
        <v>47279</v>
      </c>
      <c r="E78" s="58">
        <f t="shared" ca="1" si="4"/>
        <v>31</v>
      </c>
      <c r="F78" s="56">
        <f t="shared" si="19"/>
        <v>127393.18130064051</v>
      </c>
      <c r="G78" s="56">
        <f>IF(B77=$E$8,SUM($G$24:G77),IF(B77&gt;$E$8+1,"",PPMT($E$11/12,A78,$E$8-1,-$F$25)))</f>
        <v>18047.275425656084</v>
      </c>
      <c r="H78" s="56">
        <f>IF(B77=$E$8,SUM($H$24:H77),IF(B77&gt;$E$8,"",IPMT($E$11/12,A78,$E$8-1,-$F$25)))</f>
        <v>6781.1612948635739</v>
      </c>
      <c r="I78" s="56">
        <f>IF(B77=$E$8,SUM($I$25:I77),IF(B77&gt;$E$8,"",G78+H78+P78))</f>
        <v>24828.436720519658</v>
      </c>
      <c r="J78" s="56" t="str">
        <f t="shared" si="21"/>
        <v/>
      </c>
      <c r="K78" s="56" t="str">
        <f t="shared" si="22"/>
        <v/>
      </c>
      <c r="L78" s="56" t="s">
        <v>144</v>
      </c>
      <c r="M78" s="56" t="str">
        <f t="shared" si="23"/>
        <v/>
      </c>
      <c r="N78" s="56" t="str">
        <f t="shared" si="17"/>
        <v/>
      </c>
      <c r="O78" s="56" t="str">
        <f t="shared" si="14"/>
        <v/>
      </c>
      <c r="P78" s="56">
        <f>IF(B77=$E$8,SUM($P$25:P77),IF(B77&gt;$E$8," ",$O$5*$E$6))</f>
        <v>0</v>
      </c>
      <c r="Q78" s="59" t="str">
        <f>IF(B77=$E$8,XIRR(I$24:I77,D$24:D77),"")</f>
        <v/>
      </c>
      <c r="R78" s="56" t="str">
        <f t="shared" si="13"/>
        <v/>
      </c>
      <c r="S78" s="56">
        <f t="shared" si="5"/>
        <v>24828.436720519658</v>
      </c>
      <c r="T78" s="21">
        <f t="shared" ca="1" si="6"/>
        <v>2029</v>
      </c>
      <c r="U78" s="21">
        <f t="shared" ca="1" si="7"/>
        <v>365</v>
      </c>
      <c r="V78" s="21">
        <f t="shared" ca="1" si="8"/>
        <v>10</v>
      </c>
      <c r="W78" s="60">
        <f t="shared" ca="1" si="9"/>
        <v>9</v>
      </c>
      <c r="X78" s="61">
        <f t="shared" ca="1" si="10"/>
        <v>22</v>
      </c>
    </row>
    <row r="79" spans="1:24" x14ac:dyDescent="0.25">
      <c r="A79" s="21">
        <v>54</v>
      </c>
      <c r="B79" s="58">
        <f t="shared" si="1"/>
        <v>55</v>
      </c>
      <c r="C79" s="55">
        <f t="shared" ca="1" si="20"/>
        <v>47312</v>
      </c>
      <c r="D79" s="55">
        <f t="shared" ca="1" si="3"/>
        <v>47309</v>
      </c>
      <c r="E79" s="58">
        <f t="shared" ca="1" si="4"/>
        <v>30</v>
      </c>
      <c r="F79" s="56">
        <f t="shared" si="19"/>
        <v>108504.45165826322</v>
      </c>
      <c r="G79" s="56">
        <f>IF(B78=$E$8,SUM($G$24:G78),IF(B78&gt;$E$8+1,"",PPMT($E$11/12,A79,$E$8-1,-$F$25)))</f>
        <v>18888.729642377297</v>
      </c>
      <c r="H79" s="56">
        <f>IF(B78=$E$8,SUM($H$24:H78),IF(B78&gt;$E$8,"",IPMT($E$11/12,A79,$E$8-1,-$F$25)))</f>
        <v>5939.7070781423608</v>
      </c>
      <c r="I79" s="56">
        <f>IF(B78=$E$8,SUM($I$25:I78),IF(B78&gt;$E$8,"",G79+H79+P79))</f>
        <v>24828.436720519658</v>
      </c>
      <c r="J79" s="56" t="str">
        <f t="shared" si="21"/>
        <v/>
      </c>
      <c r="K79" s="56" t="str">
        <f t="shared" si="22"/>
        <v/>
      </c>
      <c r="L79" s="56" t="s">
        <v>144</v>
      </c>
      <c r="M79" s="56" t="str">
        <f t="shared" si="23"/>
        <v/>
      </c>
      <c r="N79" s="56" t="str">
        <f t="shared" si="17"/>
        <v/>
      </c>
      <c r="O79" s="56" t="str">
        <f t="shared" si="14"/>
        <v/>
      </c>
      <c r="P79" s="56">
        <f>IF(B78=$E$8,SUM($P$25:P78),IF(B78&gt;$E$8," ",$O$5*$E$6))</f>
        <v>0</v>
      </c>
      <c r="Q79" s="59" t="str">
        <f>IF(B78=$E$8,XIRR(I$24:I78,D$24:D78),"")</f>
        <v/>
      </c>
      <c r="R79" s="56" t="str">
        <f t="shared" si="13"/>
        <v/>
      </c>
      <c r="S79" s="56">
        <f t="shared" si="5"/>
        <v>24828.436720519658</v>
      </c>
      <c r="T79" s="21">
        <f t="shared" ca="1" si="6"/>
        <v>2029</v>
      </c>
      <c r="U79" s="21">
        <f t="shared" ca="1" si="7"/>
        <v>365</v>
      </c>
      <c r="V79" s="21">
        <f t="shared" ca="1" si="8"/>
        <v>10</v>
      </c>
      <c r="W79" s="60">
        <f t="shared" ca="1" si="9"/>
        <v>9</v>
      </c>
      <c r="X79" s="61">
        <f t="shared" ca="1" si="10"/>
        <v>21</v>
      </c>
    </row>
    <row r="80" spans="1:24" x14ac:dyDescent="0.25">
      <c r="A80" s="21">
        <v>55</v>
      </c>
      <c r="B80" s="58">
        <f t="shared" si="1"/>
        <v>56</v>
      </c>
      <c r="C80" s="55">
        <f t="shared" ca="1" si="20"/>
        <v>47343</v>
      </c>
      <c r="D80" s="55">
        <f t="shared" ca="1" si="3"/>
        <v>47340</v>
      </c>
      <c r="E80" s="58">
        <f t="shared" ca="1" si="4"/>
        <v>31</v>
      </c>
      <c r="F80" s="56">
        <f t="shared" si="19"/>
        <v>88735.034996310074</v>
      </c>
      <c r="G80" s="56">
        <f>IF(B79=$E$8,SUM($G$24:G79),IF(B79&gt;$E$8+1,"",PPMT($E$11/12,A80,$E$8-1,-$F$25)))</f>
        <v>19769.416661953139</v>
      </c>
      <c r="H80" s="56">
        <f>IF(B79=$E$8,SUM($H$24:H79),IF(B79&gt;$E$8,"",IPMT($E$11/12,A80,$E$8-1,-$F$25)))</f>
        <v>5059.0200585665179</v>
      </c>
      <c r="I80" s="56">
        <f>IF(B79=$E$8,SUM($I$25:I79),IF(B79&gt;$E$8,"",G80+H80+P80))</f>
        <v>24828.436720519658</v>
      </c>
      <c r="J80" s="56" t="str">
        <f t="shared" si="21"/>
        <v/>
      </c>
      <c r="K80" s="56" t="str">
        <f t="shared" si="22"/>
        <v/>
      </c>
      <c r="L80" s="56" t="s">
        <v>144</v>
      </c>
      <c r="M80" s="56" t="str">
        <f t="shared" si="23"/>
        <v/>
      </c>
      <c r="N80" s="56" t="str">
        <f t="shared" si="17"/>
        <v/>
      </c>
      <c r="O80" s="56" t="str">
        <f t="shared" si="14"/>
        <v/>
      </c>
      <c r="P80" s="56">
        <f>IF(B79=$E$8,SUM($P$25:P79),IF(B79&gt;$E$8," ",$O$5*$E$6))</f>
        <v>0</v>
      </c>
      <c r="Q80" s="59" t="str">
        <f>IF(B79=$E$8,XIRR(I$24:I79,D$24:D79),"")</f>
        <v/>
      </c>
      <c r="R80" s="56" t="str">
        <f t="shared" si="13"/>
        <v/>
      </c>
      <c r="S80" s="56">
        <f t="shared" si="5"/>
        <v>24828.436720519658</v>
      </c>
      <c r="T80" s="21">
        <f t="shared" ca="1" si="6"/>
        <v>2029</v>
      </c>
      <c r="U80" s="21">
        <f t="shared" ca="1" si="7"/>
        <v>365</v>
      </c>
      <c r="V80" s="21">
        <f t="shared" ca="1" si="8"/>
        <v>10</v>
      </c>
      <c r="W80" s="60">
        <f t="shared" ca="1" si="9"/>
        <v>9</v>
      </c>
      <c r="X80" s="61">
        <f t="shared" ca="1" si="10"/>
        <v>22</v>
      </c>
    </row>
    <row r="81" spans="1:24" x14ac:dyDescent="0.25">
      <c r="A81" s="21">
        <v>56</v>
      </c>
      <c r="B81" s="58">
        <f t="shared" si="1"/>
        <v>57</v>
      </c>
      <c r="C81" s="55">
        <f t="shared" ca="1" si="20"/>
        <v>47374</v>
      </c>
      <c r="D81" s="55">
        <f t="shared" ca="1" si="3"/>
        <v>47371</v>
      </c>
      <c r="E81" s="58">
        <f t="shared" ca="1" si="4"/>
        <v>31</v>
      </c>
      <c r="F81" s="56">
        <f t="shared" si="19"/>
        <v>68043.869282493368</v>
      </c>
      <c r="G81" s="56">
        <f>IF(B80=$E$8,SUM($G$24:G80),IF(B80&gt;$E$8+1,"",PPMT($E$11/12,A81,$E$8-1,-$F$25)))</f>
        <v>20691.165713816707</v>
      </c>
      <c r="H81" s="56">
        <f>IF(B80=$E$8,SUM($H$24:H80),IF(B80&gt;$E$8,"",IPMT($E$11/12,A81,$E$8-1,-$F$25)))</f>
        <v>4137.2710067029529</v>
      </c>
      <c r="I81" s="56">
        <f>IF(B80=$E$8,SUM($I$25:I80),IF(B80&gt;$E$8,"",G81+H81+P81))</f>
        <v>24828.436720519661</v>
      </c>
      <c r="J81" s="56" t="str">
        <f t="shared" si="21"/>
        <v/>
      </c>
      <c r="K81" s="56" t="str">
        <f t="shared" si="22"/>
        <v/>
      </c>
      <c r="L81" s="56" t="s">
        <v>144</v>
      </c>
      <c r="M81" s="56" t="str">
        <f t="shared" si="23"/>
        <v/>
      </c>
      <c r="N81" s="56" t="str">
        <f t="shared" si="17"/>
        <v/>
      </c>
      <c r="O81" s="56" t="str">
        <f t="shared" si="14"/>
        <v/>
      </c>
      <c r="P81" s="56">
        <f>IF(B80=$E$8,SUM($P$25:P80),IF(B80&gt;$E$8," ",$O$5*$E$6))</f>
        <v>0</v>
      </c>
      <c r="Q81" s="59" t="str">
        <f>IF(B80=$E$8,XIRR(I$24:I80,D$24:D80),"")</f>
        <v/>
      </c>
      <c r="R81" s="56" t="str">
        <f t="shared" si="13"/>
        <v/>
      </c>
      <c r="S81" s="56">
        <f t="shared" si="5"/>
        <v>24828.436720519661</v>
      </c>
      <c r="T81" s="21">
        <f t="shared" ca="1" si="6"/>
        <v>2029</v>
      </c>
      <c r="U81" s="21">
        <f t="shared" ca="1" si="7"/>
        <v>365</v>
      </c>
      <c r="V81" s="21">
        <f t="shared" ca="1" si="8"/>
        <v>10</v>
      </c>
      <c r="W81" s="60">
        <f t="shared" ca="1" si="9"/>
        <v>9</v>
      </c>
      <c r="X81" s="61">
        <f t="shared" ca="1" si="10"/>
        <v>22</v>
      </c>
    </row>
    <row r="82" spans="1:24" x14ac:dyDescent="0.25">
      <c r="A82" s="21">
        <v>57</v>
      </c>
      <c r="B82" s="58">
        <f t="shared" si="1"/>
        <v>58</v>
      </c>
      <c r="C82" s="55">
        <f t="shared" ca="1" si="20"/>
        <v>47404</v>
      </c>
      <c r="D82" s="55">
        <f t="shared" ca="1" si="3"/>
        <v>47401</v>
      </c>
      <c r="E82" s="58">
        <f t="shared" ca="1" si="4"/>
        <v>30</v>
      </c>
      <c r="F82" s="56">
        <f t="shared" si="19"/>
        <v>46387.977967269959</v>
      </c>
      <c r="G82" s="56">
        <f>IF(B81=$E$8,SUM($G$24:G81),IF(B81&gt;$E$8+1,"",PPMT($E$11/12,A82,$E$8-1,-$F$25)))</f>
        <v>21655.891315223409</v>
      </c>
      <c r="H82" s="56">
        <f>IF(B81=$E$8,SUM($H$24:H81),IF(B81&gt;$E$8,"",IPMT($E$11/12,A82,$E$8-1,-$F$25)))</f>
        <v>3172.54540529625</v>
      </c>
      <c r="I82" s="56">
        <f>IF(B81=$E$8,SUM($I$25:I81),IF(B81&gt;$E$8,"",G82+H82+P82))</f>
        <v>24828.436720519658</v>
      </c>
      <c r="J82" s="56" t="str">
        <f t="shared" si="21"/>
        <v/>
      </c>
      <c r="K82" s="56" t="str">
        <f t="shared" si="22"/>
        <v/>
      </c>
      <c r="L82" s="56" t="s">
        <v>144</v>
      </c>
      <c r="M82" s="56" t="str">
        <f t="shared" si="23"/>
        <v/>
      </c>
      <c r="N82" s="56" t="str">
        <f t="shared" si="17"/>
        <v/>
      </c>
      <c r="O82" s="56" t="str">
        <f t="shared" si="14"/>
        <v/>
      </c>
      <c r="P82" s="56">
        <f>IF(B81=$E$8,SUM($P$25:P81),IF(B81&gt;$E$8," ",$O$5*$E$6))</f>
        <v>0</v>
      </c>
      <c r="Q82" s="59" t="str">
        <f>IF(B81=$E$8,XIRR(I$24:I81,D$24:D81),"")</f>
        <v/>
      </c>
      <c r="R82" s="56" t="str">
        <f t="shared" si="13"/>
        <v/>
      </c>
      <c r="S82" s="56">
        <f t="shared" si="5"/>
        <v>24828.436720519658</v>
      </c>
      <c r="T82" s="21">
        <f t="shared" ca="1" si="6"/>
        <v>2029</v>
      </c>
      <c r="U82" s="21">
        <f t="shared" ca="1" si="7"/>
        <v>365</v>
      </c>
      <c r="V82" s="21">
        <f t="shared" ca="1" si="8"/>
        <v>10</v>
      </c>
      <c r="W82" s="60">
        <f t="shared" ca="1" si="9"/>
        <v>9</v>
      </c>
      <c r="X82" s="61">
        <f t="shared" ca="1" si="10"/>
        <v>21</v>
      </c>
    </row>
    <row r="83" spans="1:24" x14ac:dyDescent="0.25">
      <c r="A83" s="21">
        <v>58</v>
      </c>
      <c r="B83" s="58">
        <f t="shared" si="1"/>
        <v>59</v>
      </c>
      <c r="C83" s="55">
        <f t="shared" ca="1" si="20"/>
        <v>47435</v>
      </c>
      <c r="D83" s="55">
        <f t="shared" ca="1" si="3"/>
        <v>47432</v>
      </c>
      <c r="E83" s="58">
        <f t="shared" ca="1" si="4"/>
        <v>31</v>
      </c>
      <c r="F83" s="56">
        <f t="shared" si="19"/>
        <v>23722.380719474259</v>
      </c>
      <c r="G83" s="56">
        <f>IF(B82=$E$8,SUM($G$24:G82),IF(B82&gt;$E$8+1,"",PPMT($E$11/12,A83,$E$8-1,-$F$25)))</f>
        <v>22665.5972477957</v>
      </c>
      <c r="H83" s="56">
        <f>IF(B82=$E$8,SUM($H$24:H82),IF(B82&gt;$E$8,"",IPMT($E$11/12,A83,$E$8-1,-$F$25)))</f>
        <v>2162.8394727239579</v>
      </c>
      <c r="I83" s="56">
        <f>IF(B82=$E$8,SUM($I$25:I82),IF(B82&gt;$E$8,"",G83+H83+P83))</f>
        <v>24828.436720519658</v>
      </c>
      <c r="J83" s="56" t="str">
        <f t="shared" si="21"/>
        <v/>
      </c>
      <c r="K83" s="56" t="str">
        <f t="shared" si="22"/>
        <v/>
      </c>
      <c r="L83" s="56" t="s">
        <v>144</v>
      </c>
      <c r="M83" s="56" t="str">
        <f t="shared" si="23"/>
        <v/>
      </c>
      <c r="N83" s="56" t="str">
        <f t="shared" si="17"/>
        <v/>
      </c>
      <c r="O83" s="56" t="str">
        <f t="shared" si="14"/>
        <v/>
      </c>
      <c r="P83" s="56">
        <f>IF(B82=$E$8,SUM($P$25:P82),IF(B82&gt;$E$8," ",$O$5*$E$6))</f>
        <v>0</v>
      </c>
      <c r="Q83" s="59" t="str">
        <f>IF(B82=$E$8,XIRR(I$24:I82,D$24:D82),"")</f>
        <v/>
      </c>
      <c r="R83" s="56" t="str">
        <f t="shared" si="13"/>
        <v/>
      </c>
      <c r="S83" s="56">
        <f t="shared" si="5"/>
        <v>24828.436720519658</v>
      </c>
      <c r="T83" s="21">
        <f t="shared" ca="1" si="6"/>
        <v>2029</v>
      </c>
      <c r="U83" s="21">
        <f t="shared" ca="1" si="7"/>
        <v>365</v>
      </c>
      <c r="V83" s="21">
        <f t="shared" ca="1" si="8"/>
        <v>10</v>
      </c>
      <c r="W83" s="60">
        <f t="shared" ca="1" si="9"/>
        <v>9</v>
      </c>
      <c r="X83" s="61">
        <f t="shared" ca="1" si="10"/>
        <v>22</v>
      </c>
    </row>
    <row r="84" spans="1:24" x14ac:dyDescent="0.25">
      <c r="A84" s="21">
        <v>59</v>
      </c>
      <c r="B84" s="58">
        <f t="shared" si="1"/>
        <v>60</v>
      </c>
      <c r="C84" s="55">
        <f t="shared" ca="1" si="20"/>
        <v>47465</v>
      </c>
      <c r="D84" s="55">
        <f t="shared" ca="1" si="3"/>
        <v>47462</v>
      </c>
      <c r="E84" s="58">
        <f t="shared" ca="1" si="4"/>
        <v>30</v>
      </c>
      <c r="F84" s="56">
        <f t="shared" si="19"/>
        <v>8.3673512563109398E-11</v>
      </c>
      <c r="G84" s="56">
        <f>IF(B83=$E$8,SUM($G$24:G83),IF(B83&gt;$E$8+1,"",PPMT($E$11/12,A84,$E$8-1,-$F$25)))</f>
        <v>23722.380719474175</v>
      </c>
      <c r="H84" s="56">
        <f>IF(B83=$E$8,SUM($H$24:H83),IF(B83&gt;$E$8,"",IPMT($E$11/12,A84,$E$8-1,-$F$25)))</f>
        <v>1106.0560010454833</v>
      </c>
      <c r="I84" s="56">
        <f>IF(B83=$E$8,SUM($I$25:I83),IF(B83&gt;$E$8,"",G84+H84+P84))</f>
        <v>24828.436720519658</v>
      </c>
      <c r="J84" s="56" t="str">
        <f t="shared" si="21"/>
        <v/>
      </c>
      <c r="K84" s="56" t="str">
        <f t="shared" si="22"/>
        <v/>
      </c>
      <c r="L84" s="56" t="s">
        <v>144</v>
      </c>
      <c r="M84" s="56" t="str">
        <f t="shared" si="23"/>
        <v/>
      </c>
      <c r="N84" s="56" t="str">
        <f t="shared" si="17"/>
        <v/>
      </c>
      <c r="O84" s="56" t="str">
        <f t="shared" si="14"/>
        <v/>
      </c>
      <c r="P84" s="56">
        <f>IF(B83=$E$8,SUM($P$25:P83),IF(B83&gt;$E$8," ",$O$5*$E$6))</f>
        <v>0</v>
      </c>
      <c r="Q84" s="59" t="str">
        <f>IF(B83=$E$8,XIRR(I$24:I83,D$24:D83),"")</f>
        <v/>
      </c>
      <c r="R84" s="56" t="str">
        <f t="shared" si="13"/>
        <v/>
      </c>
      <c r="S84" s="56">
        <f t="shared" si="5"/>
        <v>24828.436720519658</v>
      </c>
      <c r="T84" s="21">
        <f t="shared" ca="1" si="6"/>
        <v>2029</v>
      </c>
      <c r="U84" s="21">
        <f t="shared" ca="1" si="7"/>
        <v>365</v>
      </c>
      <c r="V84" s="21">
        <f t="shared" ca="1" si="8"/>
        <v>10</v>
      </c>
      <c r="W84" s="60">
        <f t="shared" ca="1" si="9"/>
        <v>9</v>
      </c>
      <c r="X84" s="61">
        <f t="shared" ca="1" si="10"/>
        <v>21</v>
      </c>
    </row>
    <row r="85" spans="1:24" x14ac:dyDescent="0.25">
      <c r="B85" s="58" t="str">
        <f t="shared" si="1"/>
        <v/>
      </c>
      <c r="C85" s="55" t="str">
        <f t="shared" si="20"/>
        <v/>
      </c>
      <c r="D85" s="55" t="str">
        <f t="shared" ref="D85:D148" ca="1" si="24">IF(C85=$E$10,C85-1,(IF(C85&gt;$E$10," ",C85)))</f>
        <v xml:space="preserve"> </v>
      </c>
      <c r="E85" s="58" t="str">
        <f t="shared" ref="E85:E148" si="25">IF(B85&gt;$E$8,"",D85-D84)</f>
        <v/>
      </c>
      <c r="F85" s="56" t="str">
        <f t="shared" si="19"/>
        <v/>
      </c>
      <c r="G85" s="56">
        <f>IF(B84=$E$8,SUM($G$24:G84),IF(B84&gt;$E$8+1,"",PPMT($E$11/12,A85,$E$8-1,-$F$25)))</f>
        <v>499999.99999999988</v>
      </c>
      <c r="H85" s="56">
        <f>IF(B84=$E$8,SUM($H$24:H84),IF(B84&gt;$E$8,"",IPMT($E$11/12,A85,$E$8-1,-$F$25)))</f>
        <v>981039.11190603115</v>
      </c>
      <c r="I85" s="56">
        <f>IF(B84=$E$8,SUM($I$25:I84),IF(B84&gt;$E$8,"",G85+H85+P85))</f>
        <v>1481039.11190603</v>
      </c>
      <c r="J85" s="62">
        <f t="shared" si="21"/>
        <v>0</v>
      </c>
      <c r="K85" s="56">
        <f>IF($E$8&gt;B84,$O$9,IF(B84=60,SUM($K$24:K84)," "))</f>
        <v>0</v>
      </c>
      <c r="L85" s="56">
        <f>IF($E$8&gt;60,($P$8+$O$10*F84),IF($B$84=$E$8,$L$37+$L$24+$L$49+$L$61+$L$73,""))</f>
        <v>0</v>
      </c>
      <c r="M85" s="62">
        <f t="shared" si="23"/>
        <v>0</v>
      </c>
      <c r="N85" s="56">
        <f t="shared" si="17"/>
        <v>14750</v>
      </c>
      <c r="O85" s="56">
        <f t="shared" si="14"/>
        <v>0</v>
      </c>
      <c r="P85" s="56">
        <f>IF(B84=$E$8,SUM($P$25:P84),IF(B84&gt;$E$8," ",$O$5*$E$6))</f>
        <v>0</v>
      </c>
      <c r="Q85" s="59">
        <f ca="1">IF(B84=$E$8,XIRR(I$24:I84,D$24:D84),"")</f>
        <v>0.74327713251113869</v>
      </c>
      <c r="R85" s="56">
        <f t="shared" si="13"/>
        <v>1495789.1119060311</v>
      </c>
      <c r="S85" s="56">
        <f t="shared" ca="1" si="5"/>
        <v>2991578.9670891939</v>
      </c>
      <c r="T85" s="21" t="e">
        <f t="shared" ca="1" si="6"/>
        <v>#VALUE!</v>
      </c>
      <c r="U85" s="21" t="e">
        <f t="shared" ca="1" si="7"/>
        <v>#VALUE!</v>
      </c>
      <c r="V85" s="21" t="e">
        <f t="shared" ca="1" si="8"/>
        <v>#VALUE!</v>
      </c>
      <c r="W85" s="60" t="e">
        <f t="shared" ca="1" si="9"/>
        <v>#VALUE!</v>
      </c>
      <c r="X85" s="61" t="e">
        <f t="shared" ca="1" si="10"/>
        <v>#VALUE!</v>
      </c>
    </row>
    <row r="86" spans="1:24" x14ac:dyDescent="0.25">
      <c r="B86" s="58" t="str">
        <f t="shared" si="1"/>
        <v/>
      </c>
      <c r="C86" s="55" t="str">
        <f t="shared" si="20"/>
        <v/>
      </c>
      <c r="D86" s="55" t="str">
        <f t="shared" ca="1" si="24"/>
        <v xml:space="preserve"> </v>
      </c>
      <c r="E86" s="58" t="str">
        <f t="shared" si="25"/>
        <v/>
      </c>
      <c r="F86" s="56" t="str">
        <f t="shared" si="19"/>
        <v/>
      </c>
      <c r="G86" s="56" t="str">
        <f>IF(AND(B85="",B87=""),"",IF(B86="",ROUND(SUM($G$25:G85),2),IF(B86=$E$8,$F$24-ROUND(SUM($G$25:G85),2),ROUND($F$24/$E$8,2))))</f>
        <v/>
      </c>
      <c r="H86" s="56" t="str">
        <f>IF(B85=$E$8,ROUND(SUM($H$25:H85),2),IF(B86&gt;$E$8,"",IF(U86&lt;&gt;U85,ROUND(SUM(W86*$E$9*F85/U86,X86*$E$9*F85/U85),2),ROUND(F85*$E$9*E86/U85,2))))</f>
        <v/>
      </c>
      <c r="I86" s="56" t="str">
        <f>IF(B85=$E$8,SUM($I$25:I85),IF(B85&gt;$E$8,"",G86+H86))</f>
        <v/>
      </c>
      <c r="J86" s="56" t="str">
        <f t="shared" si="21"/>
        <v/>
      </c>
      <c r="K86" s="56" t="str">
        <f t="shared" ref="K86:K96" si="26">IF(B85=$E$8,$K$24,"")</f>
        <v/>
      </c>
      <c r="L86" s="56"/>
      <c r="M86" s="56" t="str">
        <f t="shared" si="23"/>
        <v/>
      </c>
      <c r="N86" s="56" t="str">
        <f t="shared" si="17"/>
        <v/>
      </c>
      <c r="O86" s="56" t="str">
        <f t="shared" si="14"/>
        <v/>
      </c>
      <c r="P86" s="56" t="str">
        <f>IF(B85=$E$8,SUM($P$25:P85),IF(B85&gt;E9," ",$O$5*$E$6))</f>
        <v xml:space="preserve"> </v>
      </c>
      <c r="Q86" s="59" t="str">
        <f>IF(B85=$E$8,XIRR(I$24:I85,D$24:D85),"")</f>
        <v/>
      </c>
      <c r="R86" s="56" t="str">
        <f t="shared" si="13"/>
        <v/>
      </c>
      <c r="S86" s="56">
        <f t="shared" si="5"/>
        <v>0</v>
      </c>
      <c r="T86" s="21" t="e">
        <f t="shared" ca="1" si="6"/>
        <v>#VALUE!</v>
      </c>
      <c r="U86" s="21" t="e">
        <f t="shared" ca="1" si="7"/>
        <v>#VALUE!</v>
      </c>
      <c r="V86" s="21" t="e">
        <f t="shared" ca="1" si="8"/>
        <v>#VALUE!</v>
      </c>
      <c r="W86" s="60" t="e">
        <f t="shared" ca="1" si="9"/>
        <v>#VALUE!</v>
      </c>
      <c r="X86" s="61" t="e">
        <f t="shared" ca="1" si="10"/>
        <v>#VALUE!</v>
      </c>
    </row>
    <row r="87" spans="1:24" x14ac:dyDescent="0.25">
      <c r="B87" s="58" t="str">
        <f t="shared" si="1"/>
        <v/>
      </c>
      <c r="C87" s="55" t="str">
        <f t="shared" si="20"/>
        <v/>
      </c>
      <c r="D87" s="55" t="str">
        <f t="shared" ca="1" si="24"/>
        <v xml:space="preserve"> </v>
      </c>
      <c r="E87" s="58" t="str">
        <f t="shared" si="25"/>
        <v/>
      </c>
      <c r="F87" s="56" t="str">
        <f t="shared" si="19"/>
        <v/>
      </c>
      <c r="G87" s="56" t="str">
        <f>IF(AND(B86="",B88=""),"",IF(B87="",ROUND(SUM($G$25:G86),2),IF(B87=$E$8,$F$24-ROUND(SUM($G$25:G86),2),ROUND($F$24/$E$8,2))))</f>
        <v/>
      </c>
      <c r="H87" s="56" t="str">
        <f>IF(B86=$E$8,ROUND(SUM($H$25:H86),2),IF(B87&gt;$E$8,"",IF(U87&lt;&gt;U86,ROUND(SUM(W87*$E$9*F86/U87,X87*$E$9*F86/U86),2),ROUND(F86*$E$9*E87/U86,2))))</f>
        <v/>
      </c>
      <c r="I87" s="56" t="str">
        <f>IF(B86=$E$8,SUM($I$25:I86),IF(B86&gt;$E$8,"",G87+H87))</f>
        <v/>
      </c>
      <c r="J87" s="56" t="str">
        <f t="shared" si="21"/>
        <v/>
      </c>
      <c r="K87" s="56" t="str">
        <f t="shared" si="26"/>
        <v/>
      </c>
      <c r="L87" s="56"/>
      <c r="M87" s="56" t="str">
        <f t="shared" si="23"/>
        <v/>
      </c>
      <c r="N87" s="56" t="str">
        <f t="shared" si="17"/>
        <v/>
      </c>
      <c r="O87" s="56" t="str">
        <f t="shared" si="14"/>
        <v/>
      </c>
      <c r="P87" s="56"/>
      <c r="Q87" s="59" t="str">
        <f>IF(B86=$E$8,XIRR(I$24:I86,D$24:D86),"")</f>
        <v/>
      </c>
      <c r="R87" s="56" t="str">
        <f t="shared" si="13"/>
        <v/>
      </c>
      <c r="S87" s="56">
        <f t="shared" si="5"/>
        <v>0</v>
      </c>
      <c r="T87" s="21" t="e">
        <f t="shared" ca="1" si="6"/>
        <v>#VALUE!</v>
      </c>
      <c r="U87" s="21" t="e">
        <f t="shared" ca="1" si="7"/>
        <v>#VALUE!</v>
      </c>
      <c r="V87" s="21" t="e">
        <f t="shared" ca="1" si="8"/>
        <v>#VALUE!</v>
      </c>
      <c r="W87" s="60" t="e">
        <f t="shared" ca="1" si="9"/>
        <v>#VALUE!</v>
      </c>
      <c r="X87" s="61" t="e">
        <f t="shared" ca="1" si="10"/>
        <v>#VALUE!</v>
      </c>
    </row>
    <row r="88" spans="1:24" x14ac:dyDescent="0.25">
      <c r="B88" s="58" t="str">
        <f t="shared" si="1"/>
        <v/>
      </c>
      <c r="C88" s="55" t="str">
        <f t="shared" si="20"/>
        <v/>
      </c>
      <c r="D88" s="55" t="str">
        <f t="shared" ca="1" si="24"/>
        <v xml:space="preserve"> </v>
      </c>
      <c r="E88" s="58" t="str">
        <f t="shared" si="25"/>
        <v/>
      </c>
      <c r="F88" s="56" t="str">
        <f t="shared" si="19"/>
        <v/>
      </c>
      <c r="G88" s="56" t="str">
        <f>IF(AND(B87="",B89=""),"",IF(B88="",ROUND(SUM($G$25:G87),2),IF(B88=$E$8,$F$24-ROUND(SUM($G$25:G87),2),ROUND($F$24/$E$8,2))))</f>
        <v/>
      </c>
      <c r="H88" s="56" t="str">
        <f>IF(B87=$E$8,ROUND(SUM($H$25:H87),2),IF(B88&gt;$E$8,"",IF(U88&lt;&gt;U87,ROUND(SUM(W88*$E$9*F87/U88,X88*$E$9*F87/U87),2),ROUND(F87*$E$9*E88/U87,2))))</f>
        <v/>
      </c>
      <c r="I88" s="56" t="str">
        <f>IF(B87=$E$8,SUM($I$25:I87),IF(B87&gt;$E$8,"",G88+H88))</f>
        <v/>
      </c>
      <c r="J88" s="56" t="str">
        <f t="shared" si="21"/>
        <v/>
      </c>
      <c r="K88" s="56" t="str">
        <f t="shared" si="26"/>
        <v/>
      </c>
      <c r="L88" s="56"/>
      <c r="M88" s="56" t="str">
        <f t="shared" si="23"/>
        <v/>
      </c>
      <c r="N88" s="56" t="str">
        <f t="shared" si="17"/>
        <v/>
      </c>
      <c r="O88" s="56" t="str">
        <f t="shared" si="14"/>
        <v/>
      </c>
      <c r="P88" s="56"/>
      <c r="Q88" s="59" t="str">
        <f>IF(B87=$E$8,XIRR(I$24:I87,D$24:D87),"")</f>
        <v/>
      </c>
      <c r="R88" s="56" t="str">
        <f t="shared" si="13"/>
        <v/>
      </c>
      <c r="S88" s="56">
        <f t="shared" si="5"/>
        <v>0</v>
      </c>
      <c r="T88" s="21" t="e">
        <f t="shared" ca="1" si="6"/>
        <v>#VALUE!</v>
      </c>
      <c r="U88" s="21" t="e">
        <f t="shared" ca="1" si="7"/>
        <v>#VALUE!</v>
      </c>
      <c r="V88" s="21" t="e">
        <f t="shared" ca="1" si="8"/>
        <v>#VALUE!</v>
      </c>
      <c r="W88" s="60" t="e">
        <f t="shared" ca="1" si="9"/>
        <v>#VALUE!</v>
      </c>
      <c r="X88" s="61" t="e">
        <f t="shared" ca="1" si="10"/>
        <v>#VALUE!</v>
      </c>
    </row>
    <row r="89" spans="1:24" x14ac:dyDescent="0.25">
      <c r="B89" s="58" t="str">
        <f t="shared" si="1"/>
        <v/>
      </c>
      <c r="C89" s="55" t="str">
        <f t="shared" si="20"/>
        <v/>
      </c>
      <c r="D89" s="55" t="str">
        <f t="shared" ca="1" si="24"/>
        <v xml:space="preserve"> </v>
      </c>
      <c r="E89" s="58" t="str">
        <f t="shared" si="25"/>
        <v/>
      </c>
      <c r="F89" s="56" t="str">
        <f t="shared" si="19"/>
        <v/>
      </c>
      <c r="G89" s="56" t="str">
        <f>IF(AND(B88="",B90=""),"",IF(B89="",ROUND(SUM($G$25:G88),2),IF(B89=$E$8,$F$24-ROUND(SUM($G$25:G88),2),ROUND($F$24/$E$8,2))))</f>
        <v/>
      </c>
      <c r="H89" s="56" t="str">
        <f>IF(B88=$E$8,ROUND(SUM($H$25:H88),2),IF(B89&gt;$E$8,"",IF(U89&lt;&gt;U88,ROUND(SUM(W89*$E$9*F88/U89,X89*$E$9*F88/U88),2),ROUND(F88*$E$9*E89/U88,2))))</f>
        <v/>
      </c>
      <c r="I89" s="56" t="str">
        <f>IF(B88=$E$8,SUM($I$25:I88),IF(B88&gt;$E$8,"",G89+H89))</f>
        <v/>
      </c>
      <c r="J89" s="56" t="str">
        <f t="shared" si="21"/>
        <v/>
      </c>
      <c r="K89" s="56" t="str">
        <f t="shared" si="26"/>
        <v/>
      </c>
      <c r="L89" s="56"/>
      <c r="M89" s="56" t="str">
        <f t="shared" si="23"/>
        <v/>
      </c>
      <c r="N89" s="56" t="str">
        <f t="shared" si="17"/>
        <v/>
      </c>
      <c r="O89" s="56" t="str">
        <f t="shared" si="14"/>
        <v/>
      </c>
      <c r="P89" s="56"/>
      <c r="Q89" s="59" t="str">
        <f>IF(B88=$E$8,XIRR(I$24:I88,D$24:D88),"")</f>
        <v/>
      </c>
      <c r="R89" s="56" t="str">
        <f t="shared" si="13"/>
        <v/>
      </c>
      <c r="S89" s="56">
        <f t="shared" si="5"/>
        <v>0</v>
      </c>
      <c r="T89" s="21" t="e">
        <f t="shared" ca="1" si="6"/>
        <v>#VALUE!</v>
      </c>
      <c r="U89" s="21" t="e">
        <f t="shared" ca="1" si="7"/>
        <v>#VALUE!</v>
      </c>
      <c r="V89" s="21" t="e">
        <f t="shared" ca="1" si="8"/>
        <v>#VALUE!</v>
      </c>
      <c r="W89" s="60" t="e">
        <f t="shared" ca="1" si="9"/>
        <v>#VALUE!</v>
      </c>
      <c r="X89" s="61" t="e">
        <f t="shared" ca="1" si="10"/>
        <v>#VALUE!</v>
      </c>
    </row>
    <row r="90" spans="1:24" x14ac:dyDescent="0.25">
      <c r="B90" s="58" t="str">
        <f t="shared" ref="B90:B153" si="27">IF(B89&lt;$E$8,B89+1,"")</f>
        <v/>
      </c>
      <c r="C90" s="55" t="str">
        <f t="shared" si="20"/>
        <v/>
      </c>
      <c r="D90" s="55" t="str">
        <f t="shared" ca="1" si="24"/>
        <v xml:space="preserve"> </v>
      </c>
      <c r="E90" s="58" t="str">
        <f t="shared" si="25"/>
        <v/>
      </c>
      <c r="F90" s="56" t="str">
        <f t="shared" si="19"/>
        <v/>
      </c>
      <c r="G90" s="56" t="str">
        <f>IF(AND(B89="",B91=""),"",IF(B90="",ROUND(SUM($G$25:G89),2),IF(B90=$E$8,$F$24-ROUND(SUM($G$25:G89),2),ROUND($F$24/$E$8,2))))</f>
        <v/>
      </c>
      <c r="H90" s="56" t="str">
        <f>IF(B89=$E$8,ROUND(SUM($H$25:H89),2),IF(B90&gt;$E$8,"",IF(U90&lt;&gt;U89,ROUND(SUM(W90*$E$9*F89/U90,X90*$E$9*F89/U89),2),ROUND(F89*$E$9*E90/U89,2))))</f>
        <v/>
      </c>
      <c r="I90" s="56" t="str">
        <f>IF(B89=$E$8,SUM($I$25:I89),IF(B89&gt;$E$8,"",G90+H90))</f>
        <v/>
      </c>
      <c r="J90" s="56" t="str">
        <f t="shared" si="21"/>
        <v/>
      </c>
      <c r="K90" s="56" t="str">
        <f t="shared" si="26"/>
        <v/>
      </c>
      <c r="L90" s="56"/>
      <c r="M90" s="56" t="str">
        <f t="shared" si="23"/>
        <v/>
      </c>
      <c r="N90" s="56" t="str">
        <f t="shared" si="17"/>
        <v/>
      </c>
      <c r="O90" s="56" t="str">
        <f t="shared" si="14"/>
        <v/>
      </c>
      <c r="P90" s="56"/>
      <c r="Q90" s="59" t="str">
        <f>IF(B89=$E$8,XIRR(I$24:I89,D$24:D89),"")</f>
        <v/>
      </c>
      <c r="R90" s="56" t="str">
        <f t="shared" si="13"/>
        <v/>
      </c>
      <c r="S90" s="56">
        <f t="shared" ref="S90:S153" si="28">SUM(I90:R90)</f>
        <v>0</v>
      </c>
      <c r="T90" s="21" t="e">
        <f t="shared" ref="T90:T153" ca="1" si="29">IF(D90="","",YEAR(D90))</f>
        <v>#VALUE!</v>
      </c>
      <c r="U90" s="21" t="e">
        <f t="shared" ref="U90:U153" ca="1" si="30">IF(OR(T90=2024,T90=2028,T90=2016,T90=2020,T90=2024,T90=2028,T90=2032,T90=2036,T90=2040),366,365)</f>
        <v>#VALUE!</v>
      </c>
      <c r="V90" s="21" t="e">
        <f t="shared" ref="V90:V153" ca="1" si="31">IF(D90="","",DAY(D90))</f>
        <v>#VALUE!</v>
      </c>
      <c r="W90" s="60" t="e">
        <f t="shared" ref="W90:W153" ca="1" si="32">V90-1</f>
        <v>#VALUE!</v>
      </c>
      <c r="X90" s="61" t="e">
        <f t="shared" ref="X90:X153" ca="1" si="33">E90-W90</f>
        <v>#VALUE!</v>
      </c>
    </row>
    <row r="91" spans="1:24" x14ac:dyDescent="0.25">
      <c r="B91" s="58" t="str">
        <f t="shared" si="27"/>
        <v/>
      </c>
      <c r="C91" s="55" t="str">
        <f t="shared" si="20"/>
        <v/>
      </c>
      <c r="D91" s="55" t="str">
        <f t="shared" ca="1" si="24"/>
        <v xml:space="preserve"> </v>
      </c>
      <c r="E91" s="58" t="str">
        <f t="shared" si="25"/>
        <v/>
      </c>
      <c r="F91" s="56" t="str">
        <f t="shared" si="19"/>
        <v/>
      </c>
      <c r="G91" s="56" t="str">
        <f>IF(AND(B90="",B92=""),"",IF(B91="",ROUND(SUM($G$25:G90),2),IF(B91=$E$8,$F$24-ROUND(SUM($G$25:G90),2),ROUND($F$24/$E$8,2))))</f>
        <v/>
      </c>
      <c r="H91" s="56" t="str">
        <f>IF(B90=$E$8,ROUND(SUM($H$25:H90),2),IF(B91&gt;$E$8,"",IF(U91&lt;&gt;U90,ROUND(SUM(W91*$E$9*F90/U91,X91*$E$9*F90/U90),2),ROUND(F90*$E$9*E91/U90,2))))</f>
        <v/>
      </c>
      <c r="I91" s="56" t="str">
        <f>IF(B90=$E$8,SUM($I$25:I90),IF(B90&gt;$E$8,"",G91+H91))</f>
        <v/>
      </c>
      <c r="J91" s="56" t="str">
        <f t="shared" si="21"/>
        <v/>
      </c>
      <c r="K91" s="56" t="str">
        <f t="shared" si="26"/>
        <v/>
      </c>
      <c r="L91" s="56"/>
      <c r="M91" s="56" t="str">
        <f t="shared" si="23"/>
        <v/>
      </c>
      <c r="N91" s="56" t="str">
        <f t="shared" si="17"/>
        <v/>
      </c>
      <c r="O91" s="56" t="str">
        <f t="shared" si="14"/>
        <v/>
      </c>
      <c r="P91" s="56"/>
      <c r="Q91" s="59" t="str">
        <f>IF(B90=$E$8,XIRR(I$24:I90,D$24:D90),"")</f>
        <v/>
      </c>
      <c r="R91" s="56" t="str">
        <f t="shared" ref="R91:R154" si="34">IF(B90=$E$8,H91+N91+G91+J91+K91+L91+M91+O91+P91,"")</f>
        <v/>
      </c>
      <c r="S91" s="56">
        <f t="shared" si="28"/>
        <v>0</v>
      </c>
      <c r="T91" s="21" t="e">
        <f t="shared" ca="1" si="29"/>
        <v>#VALUE!</v>
      </c>
      <c r="U91" s="21" t="e">
        <f t="shared" ca="1" si="30"/>
        <v>#VALUE!</v>
      </c>
      <c r="V91" s="21" t="e">
        <f t="shared" ca="1" si="31"/>
        <v>#VALUE!</v>
      </c>
      <c r="W91" s="60" t="e">
        <f t="shared" ca="1" si="32"/>
        <v>#VALUE!</v>
      </c>
      <c r="X91" s="61" t="e">
        <f t="shared" ca="1" si="33"/>
        <v>#VALUE!</v>
      </c>
    </row>
    <row r="92" spans="1:24" x14ac:dyDescent="0.25">
      <c r="B92" s="58" t="str">
        <f t="shared" si="27"/>
        <v/>
      </c>
      <c r="C92" s="55" t="str">
        <f t="shared" si="20"/>
        <v/>
      </c>
      <c r="D92" s="55" t="str">
        <f t="shared" ca="1" si="24"/>
        <v xml:space="preserve"> </v>
      </c>
      <c r="E92" s="58" t="str">
        <f t="shared" si="25"/>
        <v/>
      </c>
      <c r="F92" s="56" t="str">
        <f t="shared" si="19"/>
        <v/>
      </c>
      <c r="G92" s="56" t="str">
        <f>IF(AND(B91="",B93=""),"",IF(B92="",ROUND(SUM($G$25:G91),2),IF(B92=$E$8,$F$24-ROUND(SUM($G$25:G91),2),ROUND($F$24/$E$8,2))))</f>
        <v/>
      </c>
      <c r="H92" s="56" t="str">
        <f>IF(B91=$E$8,ROUND(SUM($H$25:H91),2),IF(B92&gt;$E$8,"",IF(U92&lt;&gt;U91,ROUND(SUM(W92*$E$9*F91/U92,X92*$E$9*F91/U91),2),ROUND(F91*$E$9*E92/U91,2))))</f>
        <v/>
      </c>
      <c r="I92" s="56" t="str">
        <f>IF(B91=$E$8,SUM($I$25:I91),IF(B91&gt;$E$8,"",G92+H92))</f>
        <v/>
      </c>
      <c r="J92" s="56" t="str">
        <f t="shared" si="21"/>
        <v/>
      </c>
      <c r="K92" s="56" t="str">
        <f t="shared" si="26"/>
        <v/>
      </c>
      <c r="L92" s="56"/>
      <c r="M92" s="56" t="str">
        <f t="shared" si="23"/>
        <v/>
      </c>
      <c r="N92" s="56" t="str">
        <f t="shared" si="17"/>
        <v/>
      </c>
      <c r="O92" s="56" t="str">
        <f t="shared" si="14"/>
        <v/>
      </c>
      <c r="P92" s="56"/>
      <c r="Q92" s="59" t="str">
        <f>IF(B91=$E$8,XIRR(I$24:I91,D$24:D91),"")</f>
        <v/>
      </c>
      <c r="R92" s="56" t="str">
        <f t="shared" si="34"/>
        <v/>
      </c>
      <c r="S92" s="56">
        <f t="shared" si="28"/>
        <v>0</v>
      </c>
      <c r="T92" s="21" t="e">
        <f t="shared" ca="1" si="29"/>
        <v>#VALUE!</v>
      </c>
      <c r="U92" s="21" t="e">
        <f t="shared" ca="1" si="30"/>
        <v>#VALUE!</v>
      </c>
      <c r="V92" s="21" t="e">
        <f t="shared" ca="1" si="31"/>
        <v>#VALUE!</v>
      </c>
      <c r="W92" s="60" t="e">
        <f t="shared" ca="1" si="32"/>
        <v>#VALUE!</v>
      </c>
      <c r="X92" s="61" t="e">
        <f t="shared" ca="1" si="33"/>
        <v>#VALUE!</v>
      </c>
    </row>
    <row r="93" spans="1:24" x14ac:dyDescent="0.25">
      <c r="B93" s="58" t="str">
        <f t="shared" si="27"/>
        <v/>
      </c>
      <c r="C93" s="55" t="str">
        <f t="shared" si="20"/>
        <v/>
      </c>
      <c r="D93" s="55" t="str">
        <f t="shared" ca="1" si="24"/>
        <v xml:space="preserve"> </v>
      </c>
      <c r="E93" s="58" t="str">
        <f t="shared" si="25"/>
        <v/>
      </c>
      <c r="F93" s="56" t="str">
        <f t="shared" si="19"/>
        <v/>
      </c>
      <c r="G93" s="56" t="str">
        <f>IF(AND(B92="",B94=""),"",IF(B93="",ROUND(SUM($G$25:G92),2),IF(B93=$E$8,$F$24-ROUND(SUM($G$25:G92),2),ROUND($F$24/$E$8,2))))</f>
        <v/>
      </c>
      <c r="H93" s="56" t="str">
        <f>IF(B92=$E$8,ROUND(SUM($H$25:H92),2),IF(B93&gt;$E$8,"",IF(U93&lt;&gt;U92,ROUND(SUM(W93*$E$9*F92/U93,X93*$E$9*F92/U92),2),ROUND(F92*$E$9*E93/U92,2))))</f>
        <v/>
      </c>
      <c r="I93" s="56" t="str">
        <f>IF(B92=$E$8,SUM($I$25:I92),IF(B92&gt;$E$8,"",G93+H93))</f>
        <v/>
      </c>
      <c r="J93" s="56" t="str">
        <f t="shared" si="21"/>
        <v/>
      </c>
      <c r="K93" s="56" t="str">
        <f t="shared" si="26"/>
        <v/>
      </c>
      <c r="L93" s="56"/>
      <c r="M93" s="56" t="str">
        <f t="shared" si="23"/>
        <v/>
      </c>
      <c r="N93" s="56" t="str">
        <f t="shared" si="17"/>
        <v/>
      </c>
      <c r="O93" s="56" t="str">
        <f t="shared" ref="O93:O156" si="35">IF(B92=$E$8,$O$24,"")</f>
        <v/>
      </c>
      <c r="P93" s="56"/>
      <c r="Q93" s="59" t="str">
        <f>IF(B92=$E$8,XIRR(I$24:I92,D$24:D92),"")</f>
        <v/>
      </c>
      <c r="R93" s="56" t="str">
        <f t="shared" si="34"/>
        <v/>
      </c>
      <c r="S93" s="56">
        <f t="shared" si="28"/>
        <v>0</v>
      </c>
      <c r="T93" s="21" t="e">
        <f t="shared" ca="1" si="29"/>
        <v>#VALUE!</v>
      </c>
      <c r="U93" s="21" t="e">
        <f t="shared" ca="1" si="30"/>
        <v>#VALUE!</v>
      </c>
      <c r="V93" s="21" t="e">
        <f t="shared" ca="1" si="31"/>
        <v>#VALUE!</v>
      </c>
      <c r="W93" s="60" t="e">
        <f t="shared" ca="1" si="32"/>
        <v>#VALUE!</v>
      </c>
      <c r="X93" s="61" t="e">
        <f t="shared" ca="1" si="33"/>
        <v>#VALUE!</v>
      </c>
    </row>
    <row r="94" spans="1:24" x14ac:dyDescent="0.25">
      <c r="B94" s="58" t="str">
        <f t="shared" si="27"/>
        <v/>
      </c>
      <c r="C94" s="55" t="str">
        <f t="shared" si="20"/>
        <v/>
      </c>
      <c r="D94" s="55" t="str">
        <f t="shared" ca="1" si="24"/>
        <v xml:space="preserve"> </v>
      </c>
      <c r="E94" s="58" t="str">
        <f t="shared" si="25"/>
        <v/>
      </c>
      <c r="F94" s="56" t="str">
        <f t="shared" si="19"/>
        <v/>
      </c>
      <c r="G94" s="56" t="str">
        <f>IF(AND(B93="",B95=""),"",IF(B94="",ROUND(SUM($G$25:G93),2),IF(B94=$E$8,$F$24-ROUND(SUM($G$25:G93),2),ROUND($F$24/$E$8,2))))</f>
        <v/>
      </c>
      <c r="H94" s="56" t="str">
        <f>IF(B93=$E$8,ROUND(SUM($H$25:H93),2),IF(B94&gt;$E$8,"",IF(U94&lt;&gt;U93,ROUND(SUM(W94*$E$9*F93/U94,X94*$E$9*F93/U93),2),ROUND(F93*$E$9*E94/U93,2))))</f>
        <v/>
      </c>
      <c r="I94" s="56" t="str">
        <f>IF(B93=$E$8,SUM($I$25:I93),IF(B93&gt;$E$8,"",G94+H94))</f>
        <v/>
      </c>
      <c r="J94" s="56" t="str">
        <f t="shared" si="21"/>
        <v/>
      </c>
      <c r="K94" s="56" t="str">
        <f t="shared" si="26"/>
        <v/>
      </c>
      <c r="L94" s="56"/>
      <c r="M94" s="56" t="str">
        <f t="shared" si="23"/>
        <v/>
      </c>
      <c r="N94" s="56" t="str">
        <f t="shared" ref="N94:N157" si="36">IF(B93=$E$8,$N$24,"")</f>
        <v/>
      </c>
      <c r="O94" s="56" t="str">
        <f t="shared" si="35"/>
        <v/>
      </c>
      <c r="P94" s="56"/>
      <c r="Q94" s="59" t="str">
        <f>IF(B93=$E$8,XIRR(I$24:I93,D$24:D93),"")</f>
        <v/>
      </c>
      <c r="R94" s="56" t="str">
        <f t="shared" si="34"/>
        <v/>
      </c>
      <c r="S94" s="56">
        <f t="shared" si="28"/>
        <v>0</v>
      </c>
      <c r="T94" s="21" t="e">
        <f t="shared" ca="1" si="29"/>
        <v>#VALUE!</v>
      </c>
      <c r="U94" s="21" t="e">
        <f t="shared" ca="1" si="30"/>
        <v>#VALUE!</v>
      </c>
      <c r="V94" s="21" t="e">
        <f t="shared" ca="1" si="31"/>
        <v>#VALUE!</v>
      </c>
      <c r="W94" s="60" t="e">
        <f t="shared" ca="1" si="32"/>
        <v>#VALUE!</v>
      </c>
      <c r="X94" s="61" t="e">
        <f t="shared" ca="1" si="33"/>
        <v>#VALUE!</v>
      </c>
    </row>
    <row r="95" spans="1:24" x14ac:dyDescent="0.25">
      <c r="B95" s="58" t="str">
        <f t="shared" si="27"/>
        <v/>
      </c>
      <c r="C95" s="55" t="str">
        <f t="shared" si="20"/>
        <v/>
      </c>
      <c r="D95" s="55" t="str">
        <f t="shared" ca="1" si="24"/>
        <v xml:space="preserve"> </v>
      </c>
      <c r="E95" s="58" t="str">
        <f t="shared" si="25"/>
        <v/>
      </c>
      <c r="F95" s="56" t="str">
        <f t="shared" si="19"/>
        <v/>
      </c>
      <c r="G95" s="56" t="str">
        <f>IF(AND(B94="",B96=""),"",IF(B95="",ROUND(SUM($G$25:G94),2),IF(B95=$E$8,$F$24-ROUND(SUM($G$25:G94),2),ROUND($F$24/$E$8,2))))</f>
        <v/>
      </c>
      <c r="H95" s="56" t="str">
        <f>IF(B94=$E$8,ROUND(SUM($H$25:H94),2),IF(B95&gt;$E$8,"",IF(U95&lt;&gt;U94,ROUND(SUM(W95*$E$9*F94/U95,X95*$E$9*F94/U94),2),ROUND(F94*$E$9*E95/U94,2))))</f>
        <v/>
      </c>
      <c r="I95" s="56" t="str">
        <f>IF(B94=$E$8,SUM($I$25:I94),IF(B94&gt;$E$8,"",G95+H95))</f>
        <v/>
      </c>
      <c r="J95" s="56" t="str">
        <f t="shared" si="21"/>
        <v/>
      </c>
      <c r="K95" s="56" t="str">
        <f t="shared" si="26"/>
        <v/>
      </c>
      <c r="L95" s="56"/>
      <c r="M95" s="56" t="str">
        <f t="shared" si="23"/>
        <v/>
      </c>
      <c r="N95" s="56" t="str">
        <f t="shared" si="36"/>
        <v/>
      </c>
      <c r="O95" s="56" t="str">
        <f t="shared" si="35"/>
        <v/>
      </c>
      <c r="P95" s="56"/>
      <c r="Q95" s="59" t="str">
        <f>IF(B94=$E$8,XIRR(I$24:I94,D$24:D94),"")</f>
        <v/>
      </c>
      <c r="R95" s="56" t="str">
        <f t="shared" si="34"/>
        <v/>
      </c>
      <c r="S95" s="56">
        <f t="shared" si="28"/>
        <v>0</v>
      </c>
      <c r="T95" s="21" t="e">
        <f t="shared" ca="1" si="29"/>
        <v>#VALUE!</v>
      </c>
      <c r="U95" s="21" t="e">
        <f t="shared" ca="1" si="30"/>
        <v>#VALUE!</v>
      </c>
      <c r="V95" s="21" t="e">
        <f t="shared" ca="1" si="31"/>
        <v>#VALUE!</v>
      </c>
      <c r="W95" s="60" t="e">
        <f t="shared" ca="1" si="32"/>
        <v>#VALUE!</v>
      </c>
      <c r="X95" s="61" t="e">
        <f t="shared" ca="1" si="33"/>
        <v>#VALUE!</v>
      </c>
    </row>
    <row r="96" spans="1:24" x14ac:dyDescent="0.25">
      <c r="B96" s="58" t="str">
        <f t="shared" si="27"/>
        <v/>
      </c>
      <c r="C96" s="55" t="str">
        <f t="shared" si="20"/>
        <v/>
      </c>
      <c r="D96" s="55" t="str">
        <f t="shared" ca="1" si="24"/>
        <v xml:space="preserve"> </v>
      </c>
      <c r="E96" s="58" t="str">
        <f t="shared" si="25"/>
        <v/>
      </c>
      <c r="F96" s="56" t="str">
        <f t="shared" si="19"/>
        <v/>
      </c>
      <c r="G96" s="56" t="str">
        <f>IF(AND(B95="",B97=""),"",IF(B96="",ROUND(SUM($G$25:G95),2),IF(B96=$E$8,$F$24-ROUND(SUM($G$25:G95),2),ROUND($F$24/$E$8,2))))</f>
        <v/>
      </c>
      <c r="H96" s="56" t="str">
        <f>IF(B95=$E$8,ROUND(SUM($H$25:H95),2),IF(B96&gt;$E$8,"",IF(U96&lt;&gt;U95,ROUND(SUM(W96*$E$9*F95/U96,X96*$E$9*F95/U95),2),ROUND(F95*$E$9*E96/U95,2))))</f>
        <v/>
      </c>
      <c r="I96" s="56" t="str">
        <f>IF(B95=$E$8,SUM($I$25:I95),IF(B95&gt;$E$8,"",G96+H96))</f>
        <v/>
      </c>
      <c r="J96" s="56" t="str">
        <f t="shared" si="21"/>
        <v/>
      </c>
      <c r="K96" s="56" t="str">
        <f t="shared" si="26"/>
        <v/>
      </c>
      <c r="L96" s="56"/>
      <c r="M96" s="56" t="str">
        <f t="shared" si="23"/>
        <v/>
      </c>
      <c r="N96" s="56" t="str">
        <f t="shared" si="36"/>
        <v/>
      </c>
      <c r="O96" s="56" t="str">
        <f t="shared" si="35"/>
        <v/>
      </c>
      <c r="P96" s="56"/>
      <c r="Q96" s="59" t="str">
        <f>IF(B95=$E$8,XIRR(I$24:I95,D$24:D95),"")</f>
        <v/>
      </c>
      <c r="R96" s="56" t="str">
        <f t="shared" si="34"/>
        <v/>
      </c>
      <c r="S96" s="56">
        <f t="shared" si="28"/>
        <v>0</v>
      </c>
      <c r="T96" s="21" t="e">
        <f t="shared" ca="1" si="29"/>
        <v>#VALUE!</v>
      </c>
      <c r="U96" s="21" t="e">
        <f t="shared" ca="1" si="30"/>
        <v>#VALUE!</v>
      </c>
      <c r="V96" s="21" t="e">
        <f t="shared" ca="1" si="31"/>
        <v>#VALUE!</v>
      </c>
      <c r="W96" s="60" t="e">
        <f t="shared" ca="1" si="32"/>
        <v>#VALUE!</v>
      </c>
      <c r="X96" s="61" t="e">
        <f t="shared" ca="1" si="33"/>
        <v>#VALUE!</v>
      </c>
    </row>
    <row r="97" spans="2:28" x14ac:dyDescent="0.25">
      <c r="B97" s="58" t="str">
        <f t="shared" si="27"/>
        <v/>
      </c>
      <c r="C97" s="55" t="str">
        <f t="shared" si="20"/>
        <v/>
      </c>
      <c r="D97" s="55" t="str">
        <f t="shared" ca="1" si="24"/>
        <v xml:space="preserve"> </v>
      </c>
      <c r="E97" s="58" t="str">
        <f t="shared" si="25"/>
        <v/>
      </c>
      <c r="F97" s="56" t="str">
        <f t="shared" si="19"/>
        <v/>
      </c>
      <c r="G97" s="56" t="str">
        <f>IF(AND(B96="",B98=""),"",IF(B97="",ROUND(SUM($G$25:G96),2),IF(B97=$E$8,$F$24-ROUND(SUM($G$25:G96),2),ROUND($F$24/$E$8,2))))</f>
        <v/>
      </c>
      <c r="H97" s="56" t="str">
        <f>IF(B96=$E$8,ROUND(SUM($H$25:H96),2),IF(B97&gt;$E$8,"",IF(U97&lt;&gt;U96,ROUND(SUM(W97*$E$9*F96/U97,X97*$E$9*F96/U96),2),ROUND(F96*$E$9*E97/U96,2))))</f>
        <v/>
      </c>
      <c r="I97" s="56" t="str">
        <f>IF(B96=$E$8,SUM($I$25:I96),IF(B96&gt;$E$8,"",G97+H97))</f>
        <v/>
      </c>
      <c r="J97" s="56" t="str">
        <f t="shared" si="21"/>
        <v/>
      </c>
      <c r="K97" s="56" t="str">
        <f>IF($E$8&gt;B96,$O$9,IF($E$8=B96,SUM($K$24:K96)," "))</f>
        <v xml:space="preserve"> </v>
      </c>
      <c r="L97" s="56" t="str">
        <f>IF($E$8&gt;72,($P$8+$O$10*F96),IF($B$96=$E$8,$L$37+$L$24+$L$49+$L$61+$L$73+$L$85,""))</f>
        <v/>
      </c>
      <c r="M97" s="56" t="str">
        <f t="shared" si="23"/>
        <v/>
      </c>
      <c r="N97" s="56" t="str">
        <f t="shared" si="36"/>
        <v/>
      </c>
      <c r="O97" s="56" t="str">
        <f t="shared" si="35"/>
        <v/>
      </c>
      <c r="P97" s="56"/>
      <c r="Q97" s="59" t="str">
        <f>IF(B96=$E$8,XIRR(I$24:I96,D$24:D96),"")</f>
        <v/>
      </c>
      <c r="R97" s="56" t="str">
        <f t="shared" si="34"/>
        <v/>
      </c>
      <c r="S97" s="56">
        <f t="shared" si="28"/>
        <v>0</v>
      </c>
      <c r="T97" s="21" t="e">
        <f t="shared" ca="1" si="29"/>
        <v>#VALUE!</v>
      </c>
      <c r="U97" s="21" t="e">
        <f t="shared" ca="1" si="30"/>
        <v>#VALUE!</v>
      </c>
      <c r="V97" s="21" t="e">
        <f t="shared" ca="1" si="31"/>
        <v>#VALUE!</v>
      </c>
      <c r="W97" s="60" t="e">
        <f t="shared" ca="1" si="32"/>
        <v>#VALUE!</v>
      </c>
      <c r="X97" s="61" t="e">
        <f t="shared" ca="1" si="33"/>
        <v>#VALUE!</v>
      </c>
    </row>
    <row r="98" spans="2:28" x14ac:dyDescent="0.25">
      <c r="B98" s="58" t="str">
        <f t="shared" si="27"/>
        <v/>
      </c>
      <c r="C98" s="55" t="str">
        <f t="shared" si="20"/>
        <v/>
      </c>
      <c r="D98" s="55" t="str">
        <f t="shared" ca="1" si="24"/>
        <v xml:space="preserve"> </v>
      </c>
      <c r="E98" s="58" t="str">
        <f t="shared" si="25"/>
        <v/>
      </c>
      <c r="F98" s="56" t="str">
        <f t="shared" si="19"/>
        <v/>
      </c>
      <c r="G98" s="56" t="str">
        <f>IF(AND(B97="",B99=""),"",IF(B98="",ROUND(SUM($G$25:G97),2),IF(B98=$E$8,$F$24-ROUND(SUM($G$25:G97),2),ROUND($F$24/$E$8,2))))</f>
        <v/>
      </c>
      <c r="H98" s="56" t="str">
        <f>IF(B97=$E$8,ROUND(SUM($H$25:H97),2),IF(B98&gt;$E$8,"",IF(U98&lt;&gt;U97,ROUND(SUM(W98*$E$9*F97/U98,X98*$E$9*F97/U97),2),ROUND(F97*$E$9*E98/U97,2))))</f>
        <v/>
      </c>
      <c r="I98" s="56" t="str">
        <f>IF(B97=$E$8,SUM($I$25:I97),IF(B97&gt;$E$8,"",G98+H98))</f>
        <v/>
      </c>
      <c r="J98" s="56" t="str">
        <f t="shared" si="21"/>
        <v/>
      </c>
      <c r="K98" s="56" t="str">
        <f t="shared" ref="K98:K108" si="37">IF(B97=$E$8,$K$24,"")</f>
        <v/>
      </c>
      <c r="L98" s="56"/>
      <c r="M98" s="56" t="str">
        <f t="shared" si="23"/>
        <v/>
      </c>
      <c r="N98" s="56" t="str">
        <f t="shared" si="36"/>
        <v/>
      </c>
      <c r="O98" s="56" t="str">
        <f t="shared" si="35"/>
        <v/>
      </c>
      <c r="P98" s="56"/>
      <c r="Q98" s="59" t="str">
        <f>IF(B97=$E$8,XIRR(I$24:I97,D$24:D97),"")</f>
        <v/>
      </c>
      <c r="R98" s="56" t="str">
        <f t="shared" si="34"/>
        <v/>
      </c>
      <c r="S98" s="56">
        <f t="shared" si="28"/>
        <v>0</v>
      </c>
      <c r="T98" s="21" t="e">
        <f t="shared" ca="1" si="29"/>
        <v>#VALUE!</v>
      </c>
      <c r="U98" s="21" t="e">
        <f t="shared" ca="1" si="30"/>
        <v>#VALUE!</v>
      </c>
      <c r="V98" s="21" t="e">
        <f t="shared" ca="1" si="31"/>
        <v>#VALUE!</v>
      </c>
      <c r="W98" s="60" t="e">
        <f t="shared" ca="1" si="32"/>
        <v>#VALUE!</v>
      </c>
      <c r="X98" s="61" t="e">
        <f t="shared" ca="1" si="33"/>
        <v>#VALUE!</v>
      </c>
    </row>
    <row r="99" spans="2:28" x14ac:dyDescent="0.25">
      <c r="B99" s="58" t="str">
        <f t="shared" si="27"/>
        <v/>
      </c>
      <c r="C99" s="55" t="str">
        <f t="shared" si="20"/>
        <v/>
      </c>
      <c r="D99" s="55" t="str">
        <f t="shared" ca="1" si="24"/>
        <v xml:space="preserve"> </v>
      </c>
      <c r="E99" s="58" t="str">
        <f t="shared" si="25"/>
        <v/>
      </c>
      <c r="F99" s="56" t="str">
        <f t="shared" si="19"/>
        <v/>
      </c>
      <c r="G99" s="56" t="str">
        <f>IF(AND(B98="",B100=""),"",IF(B99="",ROUND(SUM($G$25:G98),2),IF(B99=$E$8,$F$24-ROUND(SUM($G$25:G98),2),ROUND($F$24/$E$8,2))))</f>
        <v/>
      </c>
      <c r="H99" s="56" t="str">
        <f>IF(B98=$E$8,ROUND(SUM($H$25:H98),2),IF(B99&gt;$E$8,"",IF(U99&lt;&gt;U98,ROUND(SUM(W99*$E$9*F98/U99,X99*$E$9*F98/U98),2),ROUND(F98*$E$9*E99/U98,2))))</f>
        <v/>
      </c>
      <c r="I99" s="56" t="str">
        <f>IF(B98=$E$8,SUM($I$25:I98),IF(B98&gt;$E$8,"",G99+H99))</f>
        <v/>
      </c>
      <c r="J99" s="56" t="str">
        <f t="shared" si="21"/>
        <v/>
      </c>
      <c r="K99" s="56" t="str">
        <f t="shared" si="37"/>
        <v/>
      </c>
      <c r="L99" s="56"/>
      <c r="M99" s="56" t="str">
        <f t="shared" si="23"/>
        <v/>
      </c>
      <c r="N99" s="56" t="str">
        <f t="shared" si="36"/>
        <v/>
      </c>
      <c r="O99" s="56" t="str">
        <f t="shared" si="35"/>
        <v/>
      </c>
      <c r="P99" s="56"/>
      <c r="Q99" s="59" t="str">
        <f>IF(B98=$E$8,XIRR(I$24:I98,D$24:D98),"")</f>
        <v/>
      </c>
      <c r="R99" s="56" t="str">
        <f t="shared" si="34"/>
        <v/>
      </c>
      <c r="S99" s="56">
        <f t="shared" si="28"/>
        <v>0</v>
      </c>
      <c r="T99" s="21" t="e">
        <f t="shared" ca="1" si="29"/>
        <v>#VALUE!</v>
      </c>
      <c r="U99" s="21" t="e">
        <f t="shared" ca="1" si="30"/>
        <v>#VALUE!</v>
      </c>
      <c r="V99" s="21" t="e">
        <f t="shared" ca="1" si="31"/>
        <v>#VALUE!</v>
      </c>
      <c r="W99" s="60" t="e">
        <f t="shared" ca="1" si="32"/>
        <v>#VALUE!</v>
      </c>
      <c r="X99" s="61" t="e">
        <f t="shared" ca="1" si="33"/>
        <v>#VALUE!</v>
      </c>
    </row>
    <row r="100" spans="2:28" x14ac:dyDescent="0.25">
      <c r="B100" s="58" t="str">
        <f t="shared" si="27"/>
        <v/>
      </c>
      <c r="C100" s="55" t="str">
        <f t="shared" si="20"/>
        <v/>
      </c>
      <c r="D100" s="55" t="str">
        <f t="shared" ca="1" si="24"/>
        <v xml:space="preserve"> </v>
      </c>
      <c r="E100" s="58" t="str">
        <f t="shared" si="25"/>
        <v/>
      </c>
      <c r="F100" s="56" t="str">
        <f t="shared" si="19"/>
        <v/>
      </c>
      <c r="G100" s="56" t="str">
        <f>IF(AND(B99="",B101=""),"",IF(B100="",ROUND(SUM($G$25:G99),2),IF(B100=$E$8,$F$24-ROUND(SUM($G$25:G99),2),ROUND($F$24/$E$8,2))))</f>
        <v/>
      </c>
      <c r="H100" s="56" t="str">
        <f>IF(B99=$E$8,ROUND(SUM($H$25:H99),2),IF(B100&gt;$E$8,"",IF(U100&lt;&gt;U99,ROUND(SUM(W100*$E$9*F99/U100,X100*$E$9*F99/U99),2),ROUND(F99*$E$9*E100/U99,2))))</f>
        <v/>
      </c>
      <c r="I100" s="56" t="str">
        <f>IF(B99=$E$8,SUM($I$25:I99),IF(B99&gt;$E$8,"",G100+H100))</f>
        <v/>
      </c>
      <c r="J100" s="56" t="str">
        <f t="shared" si="21"/>
        <v/>
      </c>
      <c r="K100" s="56" t="str">
        <f t="shared" si="37"/>
        <v/>
      </c>
      <c r="L100" s="56"/>
      <c r="M100" s="56" t="str">
        <f t="shared" si="23"/>
        <v/>
      </c>
      <c r="N100" s="56" t="str">
        <f t="shared" si="36"/>
        <v/>
      </c>
      <c r="O100" s="56" t="str">
        <f t="shared" si="35"/>
        <v/>
      </c>
      <c r="P100" s="56"/>
      <c r="Q100" s="59" t="str">
        <f>IF(B99=$E$8,XIRR(I$24:I99,D$24:D99),"")</f>
        <v/>
      </c>
      <c r="R100" s="56" t="str">
        <f t="shared" si="34"/>
        <v/>
      </c>
      <c r="S100" s="56">
        <f t="shared" si="28"/>
        <v>0</v>
      </c>
      <c r="T100" s="21" t="e">
        <f t="shared" ca="1" si="29"/>
        <v>#VALUE!</v>
      </c>
      <c r="U100" s="21" t="e">
        <f t="shared" ca="1" si="30"/>
        <v>#VALUE!</v>
      </c>
      <c r="V100" s="21" t="e">
        <f t="shared" ca="1" si="31"/>
        <v>#VALUE!</v>
      </c>
      <c r="W100" s="60" t="e">
        <f t="shared" ca="1" si="32"/>
        <v>#VALUE!</v>
      </c>
      <c r="X100" s="61" t="e">
        <f t="shared" ca="1" si="33"/>
        <v>#VALUE!</v>
      </c>
    </row>
    <row r="101" spans="2:28" x14ac:dyDescent="0.25">
      <c r="B101" s="58" t="str">
        <f t="shared" si="27"/>
        <v/>
      </c>
      <c r="C101" s="55" t="str">
        <f t="shared" si="20"/>
        <v/>
      </c>
      <c r="D101" s="55" t="str">
        <f t="shared" ca="1" si="24"/>
        <v xml:space="preserve"> </v>
      </c>
      <c r="E101" s="58" t="str">
        <f t="shared" si="25"/>
        <v/>
      </c>
      <c r="F101" s="56" t="str">
        <f t="shared" ref="F101:F164" si="38">IF(B101&gt;$E$8,"",F100-G101)</f>
        <v/>
      </c>
      <c r="G101" s="56" t="str">
        <f>IF(AND(B100="",B102=""),"",IF(B101="",ROUND(SUM($G$25:G100),2),IF(B101=$E$8,$F$24-ROUND(SUM($G$25:G100),2),ROUND($F$24/$E$8,2))))</f>
        <v/>
      </c>
      <c r="H101" s="56" t="str">
        <f>IF(B100=$E$8,ROUND(SUM($H$25:H100),2),IF(B101&gt;$E$8,"",IF(U101&lt;&gt;U100,ROUND(SUM(W101*$E$9*F100/U101,X101*$E$9*F100/U100),2),ROUND(F100*$E$9*E101/U100,2))))</f>
        <v/>
      </c>
      <c r="I101" s="56" t="str">
        <f>IF(B100=$E$8,SUM($I$25:I100),IF(B100&gt;$E$8,"",G101+H101))</f>
        <v/>
      </c>
      <c r="J101" s="56" t="str">
        <f t="shared" si="21"/>
        <v/>
      </c>
      <c r="K101" s="56" t="str">
        <f t="shared" si="37"/>
        <v/>
      </c>
      <c r="L101" s="56"/>
      <c r="M101" s="56" t="str">
        <f t="shared" si="23"/>
        <v/>
      </c>
      <c r="N101" s="56" t="str">
        <f t="shared" si="36"/>
        <v/>
      </c>
      <c r="O101" s="56" t="str">
        <f t="shared" si="35"/>
        <v/>
      </c>
      <c r="P101" s="56"/>
      <c r="Q101" s="59" t="str">
        <f>IF(B100=$E$8,XIRR(I$24:I100,D$24:D100),"")</f>
        <v/>
      </c>
      <c r="R101" s="56" t="str">
        <f t="shared" si="34"/>
        <v/>
      </c>
      <c r="S101" s="56">
        <f t="shared" si="28"/>
        <v>0</v>
      </c>
      <c r="T101" s="21" t="e">
        <f t="shared" ca="1" si="29"/>
        <v>#VALUE!</v>
      </c>
      <c r="U101" s="21" t="e">
        <f t="shared" ca="1" si="30"/>
        <v>#VALUE!</v>
      </c>
      <c r="V101" s="21" t="e">
        <f t="shared" ca="1" si="31"/>
        <v>#VALUE!</v>
      </c>
      <c r="W101" s="60" t="e">
        <f t="shared" ca="1" si="32"/>
        <v>#VALUE!</v>
      </c>
      <c r="X101" s="61" t="e">
        <f t="shared" ca="1" si="33"/>
        <v>#VALUE!</v>
      </c>
    </row>
    <row r="102" spans="2:28" x14ac:dyDescent="0.25">
      <c r="B102" s="58" t="str">
        <f t="shared" si="27"/>
        <v/>
      </c>
      <c r="C102" s="55" t="str">
        <f t="shared" ref="C102:C165" si="39">IF(B102="","",EDATE($C$24,B102))</f>
        <v/>
      </c>
      <c r="D102" s="55" t="str">
        <f t="shared" ca="1" si="24"/>
        <v xml:space="preserve"> </v>
      </c>
      <c r="E102" s="58" t="str">
        <f t="shared" si="25"/>
        <v/>
      </c>
      <c r="F102" s="56" t="str">
        <f t="shared" si="38"/>
        <v/>
      </c>
      <c r="G102" s="56" t="str">
        <f>IF(AND(B101="",B103=""),"",IF(B102="",ROUND(SUM($G$25:G101),2),IF(B102=$E$8,$F$24-ROUND(SUM($G$25:G101),2),ROUND($F$24/$E$8,2))))</f>
        <v/>
      </c>
      <c r="H102" s="56" t="str">
        <f>IF(B101=$E$8,ROUND(SUM($H$25:H101),2),IF(B102&gt;$E$8,"",IF(U102&lt;&gt;U101,ROUND(SUM(W102*$E$9*F101/U102,X102*$E$9*F101/U101),2),ROUND(F101*$E$9*E102/U101,2))))</f>
        <v/>
      </c>
      <c r="I102" s="56" t="str">
        <f>IF(B101=$E$8,SUM($I$25:I101),IF(B101&gt;$E$8,"",G102+H102))</f>
        <v/>
      </c>
      <c r="J102" s="56" t="str">
        <f t="shared" ref="J102:J165" si="40">IF(B101=$E$8,$J$24,"")</f>
        <v/>
      </c>
      <c r="K102" s="56" t="str">
        <f t="shared" si="37"/>
        <v/>
      </c>
      <c r="L102" s="56"/>
      <c r="M102" s="56" t="str">
        <f t="shared" ref="M102:M165" si="41">IF(B101=$E$8,$M$24,"")</f>
        <v/>
      </c>
      <c r="N102" s="56" t="str">
        <f t="shared" si="36"/>
        <v/>
      </c>
      <c r="O102" s="56" t="str">
        <f t="shared" si="35"/>
        <v/>
      </c>
      <c r="P102" s="56"/>
      <c r="Q102" s="59" t="str">
        <f>IF(B101=$E$8,XIRR(I$24:I101,D$24:D101),"")</f>
        <v/>
      </c>
      <c r="R102" s="56" t="str">
        <f t="shared" si="34"/>
        <v/>
      </c>
      <c r="S102" s="56">
        <f t="shared" si="28"/>
        <v>0</v>
      </c>
      <c r="T102" s="21" t="e">
        <f t="shared" ca="1" si="29"/>
        <v>#VALUE!</v>
      </c>
      <c r="U102" s="21" t="e">
        <f t="shared" ca="1" si="30"/>
        <v>#VALUE!</v>
      </c>
      <c r="V102" s="21" t="e">
        <f t="shared" ca="1" si="31"/>
        <v>#VALUE!</v>
      </c>
      <c r="W102" s="60" t="e">
        <f t="shared" ca="1" si="32"/>
        <v>#VALUE!</v>
      </c>
      <c r="X102" s="61" t="e">
        <f t="shared" ca="1" si="33"/>
        <v>#VALUE!</v>
      </c>
    </row>
    <row r="103" spans="2:28" x14ac:dyDescent="0.25">
      <c r="B103" s="58" t="str">
        <f t="shared" si="27"/>
        <v/>
      </c>
      <c r="C103" s="55" t="str">
        <f t="shared" si="39"/>
        <v/>
      </c>
      <c r="D103" s="55" t="str">
        <f t="shared" ca="1" si="24"/>
        <v xml:space="preserve"> </v>
      </c>
      <c r="E103" s="58" t="str">
        <f t="shared" si="25"/>
        <v/>
      </c>
      <c r="F103" s="56" t="str">
        <f t="shared" si="38"/>
        <v/>
      </c>
      <c r="G103" s="56" t="str">
        <f>IF(AND(B102="",B104=""),"",IF(B103="",ROUND(SUM($G$25:G102),2),IF(B103=$E$8,$F$24-ROUND(SUM($G$25:G102),2),ROUND($F$24/$E$8,2))))</f>
        <v/>
      </c>
      <c r="H103" s="56" t="str">
        <f>IF(B102=$E$8,ROUND(SUM($H$25:H102),2),IF(B103&gt;$E$8,"",IF(U103&lt;&gt;U102,ROUND(SUM(W103*$E$9*F102/U103,X103*$E$9*F102/U102),2),ROUND(F102*$E$9*E103/U102,2))))</f>
        <v/>
      </c>
      <c r="I103" s="56" t="str">
        <f>IF(B102=$E$8,SUM($I$25:I102),IF(B102&gt;$E$8,"",G103+H103))</f>
        <v/>
      </c>
      <c r="J103" s="56" t="str">
        <f t="shared" si="40"/>
        <v/>
      </c>
      <c r="K103" s="56" t="str">
        <f t="shared" si="37"/>
        <v/>
      </c>
      <c r="L103" s="56"/>
      <c r="M103" s="56" t="str">
        <f t="shared" si="41"/>
        <v/>
      </c>
      <c r="N103" s="56" t="str">
        <f t="shared" si="36"/>
        <v/>
      </c>
      <c r="O103" s="56" t="str">
        <f t="shared" si="35"/>
        <v/>
      </c>
      <c r="P103" s="56"/>
      <c r="Q103" s="59" t="str">
        <f>IF(B102=$E$8,XIRR(I$24:I102,D$24:D102),"")</f>
        <v/>
      </c>
      <c r="R103" s="56" t="str">
        <f t="shared" si="34"/>
        <v/>
      </c>
      <c r="S103" s="56">
        <f t="shared" si="28"/>
        <v>0</v>
      </c>
      <c r="T103" s="21" t="e">
        <f t="shared" ca="1" si="29"/>
        <v>#VALUE!</v>
      </c>
      <c r="U103" s="21" t="e">
        <f t="shared" ca="1" si="30"/>
        <v>#VALUE!</v>
      </c>
      <c r="V103" s="21" t="e">
        <f t="shared" ca="1" si="31"/>
        <v>#VALUE!</v>
      </c>
      <c r="W103" s="60" t="e">
        <f t="shared" ca="1" si="32"/>
        <v>#VALUE!</v>
      </c>
      <c r="X103" s="61" t="e">
        <f t="shared" ca="1" si="33"/>
        <v>#VALUE!</v>
      </c>
    </row>
    <row r="104" spans="2:28" x14ac:dyDescent="0.25">
      <c r="B104" s="58" t="str">
        <f t="shared" si="27"/>
        <v/>
      </c>
      <c r="C104" s="55" t="str">
        <f t="shared" si="39"/>
        <v/>
      </c>
      <c r="D104" s="55" t="str">
        <f t="shared" ca="1" si="24"/>
        <v xml:space="preserve"> </v>
      </c>
      <c r="E104" s="58" t="str">
        <f t="shared" si="25"/>
        <v/>
      </c>
      <c r="F104" s="56" t="str">
        <f t="shared" si="38"/>
        <v/>
      </c>
      <c r="G104" s="56" t="str">
        <f>IF(AND(B103="",B105=""),"",IF(B104="",ROUND(SUM($G$25:G103),2),IF(B104=$E$8,$F$24-ROUND(SUM($G$25:G103),2),ROUND($F$24/$E$8,2))))</f>
        <v/>
      </c>
      <c r="H104" s="56" t="str">
        <f>IF(B103=$E$8,ROUND(SUM($H$25:H103),2),IF(B104&gt;$E$8,"",IF(U104&lt;&gt;U103,ROUND(SUM(W104*$E$9*F103/U104,X104*$E$9*F103/U103),2),ROUND(F103*$E$9*E104/U103,2))))</f>
        <v/>
      </c>
      <c r="I104" s="56" t="str">
        <f>IF(B103=$E$8,SUM($I$25:I103),IF(B103&gt;$E$8,"",G104+H104))</f>
        <v/>
      </c>
      <c r="J104" s="56" t="str">
        <f t="shared" si="40"/>
        <v/>
      </c>
      <c r="K104" s="56" t="str">
        <f t="shared" si="37"/>
        <v/>
      </c>
      <c r="L104" s="56"/>
      <c r="M104" s="56" t="str">
        <f t="shared" si="41"/>
        <v/>
      </c>
      <c r="N104" s="56" t="str">
        <f t="shared" si="36"/>
        <v/>
      </c>
      <c r="O104" s="56" t="str">
        <f t="shared" si="35"/>
        <v/>
      </c>
      <c r="P104" s="56"/>
      <c r="Q104" s="59" t="str">
        <f>IF(B103=$E$8,XIRR(I$24:I103,D$24:D103),"")</f>
        <v/>
      </c>
      <c r="R104" s="56" t="str">
        <f t="shared" si="34"/>
        <v/>
      </c>
      <c r="S104" s="56">
        <f t="shared" si="28"/>
        <v>0</v>
      </c>
      <c r="T104" s="21" t="e">
        <f t="shared" ca="1" si="29"/>
        <v>#VALUE!</v>
      </c>
      <c r="U104" s="21" t="e">
        <f t="shared" ca="1" si="30"/>
        <v>#VALUE!</v>
      </c>
      <c r="V104" s="21" t="e">
        <f t="shared" ca="1" si="31"/>
        <v>#VALUE!</v>
      </c>
      <c r="W104" s="60" t="e">
        <f t="shared" ca="1" si="32"/>
        <v>#VALUE!</v>
      </c>
      <c r="X104" s="61" t="e">
        <f t="shared" ca="1" si="33"/>
        <v>#VALUE!</v>
      </c>
    </row>
    <row r="105" spans="2:28" x14ac:dyDescent="0.25">
      <c r="B105" s="58" t="str">
        <f t="shared" si="27"/>
        <v/>
      </c>
      <c r="C105" s="55" t="str">
        <f t="shared" si="39"/>
        <v/>
      </c>
      <c r="D105" s="55" t="str">
        <f t="shared" ca="1" si="24"/>
        <v xml:space="preserve"> </v>
      </c>
      <c r="E105" s="58" t="str">
        <f t="shared" si="25"/>
        <v/>
      </c>
      <c r="F105" s="56" t="str">
        <f t="shared" si="38"/>
        <v/>
      </c>
      <c r="G105" s="56" t="str">
        <f>IF(AND(B104="",B106=""),"",IF(B105="",ROUND(SUM($G$25:G104),2),IF(B105=$E$8,$F$24-ROUND(SUM($G$25:G104),2),ROUND($F$24/$E$8,2))))</f>
        <v/>
      </c>
      <c r="H105" s="56" t="str">
        <f>IF(B104=$E$8,ROUND(SUM($H$25:H104),2),IF(B105&gt;$E$8,"",IF(U105&lt;&gt;U104,ROUND(SUM(W105*$E$9*F104/U105,X105*$E$9*F104/U104),2),ROUND(F104*$E$9*E105/U104,2))))</f>
        <v/>
      </c>
      <c r="I105" s="56" t="str">
        <f>IF(B104=$E$8,SUM($I$25:I104),IF(B104&gt;$E$8,"",G105+H105))</f>
        <v/>
      </c>
      <c r="J105" s="56" t="str">
        <f t="shared" si="40"/>
        <v/>
      </c>
      <c r="K105" s="56" t="str">
        <f t="shared" si="37"/>
        <v/>
      </c>
      <c r="L105" s="56"/>
      <c r="M105" s="56" t="str">
        <f t="shared" si="41"/>
        <v/>
      </c>
      <c r="N105" s="56" t="str">
        <f t="shared" si="36"/>
        <v/>
      </c>
      <c r="O105" s="56" t="str">
        <f t="shared" si="35"/>
        <v/>
      </c>
      <c r="P105" s="56"/>
      <c r="Q105" s="59" t="str">
        <f>IF(B104=$E$8,XIRR(I$24:I104,D$24:D104),"")</f>
        <v/>
      </c>
      <c r="R105" s="56" t="str">
        <f t="shared" si="34"/>
        <v/>
      </c>
      <c r="S105" s="56">
        <f t="shared" si="28"/>
        <v>0</v>
      </c>
      <c r="T105" s="21" t="e">
        <f t="shared" ca="1" si="29"/>
        <v>#VALUE!</v>
      </c>
      <c r="U105" s="21" t="e">
        <f t="shared" ca="1" si="30"/>
        <v>#VALUE!</v>
      </c>
      <c r="V105" s="21" t="e">
        <f t="shared" ca="1" si="31"/>
        <v>#VALUE!</v>
      </c>
      <c r="W105" s="60" t="e">
        <f t="shared" ca="1" si="32"/>
        <v>#VALUE!</v>
      </c>
      <c r="X105" s="61" t="e">
        <f t="shared" ca="1" si="33"/>
        <v>#VALUE!</v>
      </c>
    </row>
    <row r="106" spans="2:28" x14ac:dyDescent="0.25">
      <c r="B106" s="58" t="str">
        <f t="shared" si="27"/>
        <v/>
      </c>
      <c r="C106" s="55" t="str">
        <f t="shared" si="39"/>
        <v/>
      </c>
      <c r="D106" s="55" t="str">
        <f t="shared" ca="1" si="24"/>
        <v xml:space="preserve"> </v>
      </c>
      <c r="E106" s="58" t="str">
        <f t="shared" si="25"/>
        <v/>
      </c>
      <c r="F106" s="56" t="str">
        <f t="shared" si="38"/>
        <v/>
      </c>
      <c r="G106" s="56" t="str">
        <f>IF(AND(B105="",B107=""),"",IF(B106="",ROUND(SUM($G$25:G105),2),IF(B106=$E$8,$F$24-ROUND(SUM($G$25:G105),2),ROUND($F$24/$E$8,2))))</f>
        <v/>
      </c>
      <c r="H106" s="56" t="str">
        <f>IF(B105=$E$8,ROUND(SUM($H$25:H105),2),IF(B106&gt;$E$8,"",IF(U106&lt;&gt;U105,ROUND(SUM(W106*$E$9*F105/U106,X106*$E$9*F105/U105),2),ROUND(F105*$E$9*E106/U105,2))))</f>
        <v/>
      </c>
      <c r="I106" s="56" t="str">
        <f>IF(B105=$E$8,SUM($I$25:I105),IF(B105&gt;$E$8,"",G106+H106))</f>
        <v/>
      </c>
      <c r="J106" s="56" t="str">
        <f t="shared" si="40"/>
        <v/>
      </c>
      <c r="K106" s="56" t="str">
        <f t="shared" si="37"/>
        <v/>
      </c>
      <c r="L106" s="56"/>
      <c r="M106" s="56" t="str">
        <f t="shared" si="41"/>
        <v/>
      </c>
      <c r="N106" s="56" t="str">
        <f t="shared" si="36"/>
        <v/>
      </c>
      <c r="O106" s="56" t="str">
        <f t="shared" si="35"/>
        <v/>
      </c>
      <c r="P106" s="56"/>
      <c r="Q106" s="59" t="str">
        <f>IF(B105=$E$8,XIRR(I$24:I105,D$24:D105),"")</f>
        <v/>
      </c>
      <c r="R106" s="56" t="str">
        <f t="shared" si="34"/>
        <v/>
      </c>
      <c r="S106" s="56">
        <f t="shared" si="28"/>
        <v>0</v>
      </c>
      <c r="T106" s="21" t="e">
        <f t="shared" ca="1" si="29"/>
        <v>#VALUE!</v>
      </c>
      <c r="U106" s="21" t="e">
        <f t="shared" ca="1" si="30"/>
        <v>#VALUE!</v>
      </c>
      <c r="V106" s="21" t="e">
        <f t="shared" ca="1" si="31"/>
        <v>#VALUE!</v>
      </c>
      <c r="W106" s="60" t="e">
        <f t="shared" ca="1" si="32"/>
        <v>#VALUE!</v>
      </c>
      <c r="X106" s="61" t="e">
        <f t="shared" ca="1" si="33"/>
        <v>#VALUE!</v>
      </c>
    </row>
    <row r="107" spans="2:28" x14ac:dyDescent="0.25">
      <c r="B107" s="58" t="str">
        <f t="shared" si="27"/>
        <v/>
      </c>
      <c r="C107" s="55" t="str">
        <f t="shared" si="39"/>
        <v/>
      </c>
      <c r="D107" s="55" t="str">
        <f t="shared" ca="1" si="24"/>
        <v xml:space="preserve"> </v>
      </c>
      <c r="E107" s="58" t="str">
        <f t="shared" si="25"/>
        <v/>
      </c>
      <c r="F107" s="56" t="str">
        <f t="shared" si="38"/>
        <v/>
      </c>
      <c r="G107" s="56" t="str">
        <f>IF(AND(B106="",B108=""),"",IF(B107="",ROUND(SUM($G$25:G106),2),IF(B107=$E$8,$F$24-ROUND(SUM($G$25:G106),2),ROUND($F$24/$E$8,2))))</f>
        <v/>
      </c>
      <c r="H107" s="56" t="str">
        <f>IF(B106=$E$8,ROUND(SUM($H$25:H106),2),IF(B107&gt;$E$8,"",IF(U107&lt;&gt;U106,ROUND(SUM(W107*$E$9*F106/U107,X107*$E$9*F106/U106),2),ROUND(F106*$E$9*E107/U106,2))))</f>
        <v/>
      </c>
      <c r="I107" s="56" t="str">
        <f>IF(B106=$E$8,SUM($I$25:I106),IF(B106&gt;$E$8,"",G107+H107))</f>
        <v/>
      </c>
      <c r="J107" s="56" t="str">
        <f t="shared" si="40"/>
        <v/>
      </c>
      <c r="K107" s="56" t="str">
        <f t="shared" si="37"/>
        <v/>
      </c>
      <c r="L107" s="56"/>
      <c r="M107" s="56" t="str">
        <f t="shared" si="41"/>
        <v/>
      </c>
      <c r="N107" s="56" t="str">
        <f t="shared" si="36"/>
        <v/>
      </c>
      <c r="O107" s="56" t="str">
        <f t="shared" si="35"/>
        <v/>
      </c>
      <c r="P107" s="56"/>
      <c r="Q107" s="59" t="str">
        <f>IF(B106=$E$8,XIRR(I$24:I106,D$24:D106),"")</f>
        <v/>
      </c>
      <c r="R107" s="56" t="str">
        <f t="shared" si="34"/>
        <v/>
      </c>
      <c r="S107" s="56">
        <f t="shared" si="28"/>
        <v>0</v>
      </c>
      <c r="T107" s="21" t="e">
        <f t="shared" ca="1" si="29"/>
        <v>#VALUE!</v>
      </c>
      <c r="U107" s="21" t="e">
        <f t="shared" ca="1" si="30"/>
        <v>#VALUE!</v>
      </c>
      <c r="V107" s="21" t="e">
        <f t="shared" ca="1" si="31"/>
        <v>#VALUE!</v>
      </c>
      <c r="W107" s="60" t="e">
        <f t="shared" ca="1" si="32"/>
        <v>#VALUE!</v>
      </c>
      <c r="X107" s="61" t="e">
        <f t="shared" ca="1" si="33"/>
        <v>#VALUE!</v>
      </c>
      <c r="AB107" s="63"/>
    </row>
    <row r="108" spans="2:28" x14ac:dyDescent="0.25">
      <c r="B108" s="58" t="str">
        <f t="shared" si="27"/>
        <v/>
      </c>
      <c r="C108" s="55" t="str">
        <f t="shared" si="39"/>
        <v/>
      </c>
      <c r="D108" s="55" t="str">
        <f t="shared" ca="1" si="24"/>
        <v xml:space="preserve"> </v>
      </c>
      <c r="E108" s="58" t="str">
        <f t="shared" si="25"/>
        <v/>
      </c>
      <c r="F108" s="56" t="str">
        <f t="shared" si="38"/>
        <v/>
      </c>
      <c r="G108" s="56" t="str">
        <f>IF(AND(B107="",B109=""),"",IF(B108="",ROUND(SUM($G$25:G107),2),IF(B108=$E$8,$F$24-ROUND(SUM($G$25:G107),2),ROUND($F$24/$E$8,2))))</f>
        <v/>
      </c>
      <c r="H108" s="56" t="str">
        <f>IF(B107=$E$8,ROUND(SUM($H$25:H107),2),IF(B108&gt;$E$8,"",IF(U108&lt;&gt;U107,ROUND(SUM(W108*$E$9*F107/U108,X108*$E$9*F107/U107),2),ROUND(F107*$E$9*E108/U107,2))))</f>
        <v/>
      </c>
      <c r="I108" s="56" t="str">
        <f>IF(B107=$E$8,SUM($I$25:I107),IF(B107&gt;$E$8,"",G108+H108))</f>
        <v/>
      </c>
      <c r="J108" s="56" t="str">
        <f t="shared" si="40"/>
        <v/>
      </c>
      <c r="K108" s="56" t="str">
        <f t="shared" si="37"/>
        <v/>
      </c>
      <c r="L108" s="56"/>
      <c r="M108" s="56" t="str">
        <f t="shared" si="41"/>
        <v/>
      </c>
      <c r="N108" s="56" t="str">
        <f t="shared" si="36"/>
        <v/>
      </c>
      <c r="O108" s="56" t="str">
        <f t="shared" si="35"/>
        <v/>
      </c>
      <c r="P108" s="56"/>
      <c r="Q108" s="59" t="str">
        <f>IF(B107=$E$8,XIRR(I$24:I107,D$24:D107),"")</f>
        <v/>
      </c>
      <c r="R108" s="56" t="str">
        <f t="shared" si="34"/>
        <v/>
      </c>
      <c r="S108" s="56">
        <f t="shared" si="28"/>
        <v>0</v>
      </c>
      <c r="T108" s="21" t="e">
        <f t="shared" ca="1" si="29"/>
        <v>#VALUE!</v>
      </c>
      <c r="U108" s="21" t="e">
        <f t="shared" ca="1" si="30"/>
        <v>#VALUE!</v>
      </c>
      <c r="V108" s="21" t="e">
        <f t="shared" ca="1" si="31"/>
        <v>#VALUE!</v>
      </c>
      <c r="W108" s="60" t="e">
        <f t="shared" ca="1" si="32"/>
        <v>#VALUE!</v>
      </c>
      <c r="X108" s="61" t="e">
        <f t="shared" ca="1" si="33"/>
        <v>#VALUE!</v>
      </c>
    </row>
    <row r="109" spans="2:28" x14ac:dyDescent="0.25">
      <c r="B109" s="58" t="str">
        <f t="shared" si="27"/>
        <v/>
      </c>
      <c r="C109" s="55" t="str">
        <f t="shared" si="39"/>
        <v/>
      </c>
      <c r="D109" s="55" t="str">
        <f t="shared" ca="1" si="24"/>
        <v xml:space="preserve"> </v>
      </c>
      <c r="E109" s="58" t="str">
        <f t="shared" si="25"/>
        <v/>
      </c>
      <c r="F109" s="56" t="str">
        <f t="shared" si="38"/>
        <v/>
      </c>
      <c r="G109" s="56" t="str">
        <f>IF(AND(B108="",B110=""),"",IF(B109="",ROUND(SUM($G$25:G108),2),IF(B109=$E$8,$F$24-ROUND(SUM($G$25:G108),2),ROUND($F$24/$E$8,2))))</f>
        <v/>
      </c>
      <c r="H109" s="56" t="str">
        <f>IF(B108=$E$8,ROUND(SUM($H$25:H108),2),IF(B109&gt;$E$8,"",IF(U109&lt;&gt;U108,ROUND(SUM(W109*$E$9*F108/U109,X109*$E$9*F108/U108),2),ROUND(F108*$E$9*E109/U108,2))))</f>
        <v/>
      </c>
      <c r="I109" s="56" t="str">
        <f>IF(B108=$E$8,SUM($I$25:I108),IF(B108&gt;$E$8,"",G109+H109))</f>
        <v/>
      </c>
      <c r="J109" s="56" t="str">
        <f t="shared" si="40"/>
        <v/>
      </c>
      <c r="K109" s="56" t="str">
        <f>IF($E$8&gt;B108,$O$9,IF($E$8=B108,SUM($K$24:K108)," "))</f>
        <v xml:space="preserve"> </v>
      </c>
      <c r="L109" s="56" t="str">
        <f>IF($E$8&gt;84,($P$8+$O$10*F108),IF($B$108=$E$8,$L$37+$L$24+$L$49+$L$61+$L$73+$L$85+$L$97,""))</f>
        <v/>
      </c>
      <c r="M109" s="56" t="str">
        <f t="shared" si="41"/>
        <v/>
      </c>
      <c r="N109" s="56" t="str">
        <f t="shared" si="36"/>
        <v/>
      </c>
      <c r="O109" s="56" t="str">
        <f t="shared" si="35"/>
        <v/>
      </c>
      <c r="P109" s="56"/>
      <c r="Q109" s="59" t="str">
        <f>IF(B108=$E$8,XIRR(I$24:I108,D$24:D108),"")</f>
        <v/>
      </c>
      <c r="R109" s="56" t="str">
        <f t="shared" si="34"/>
        <v/>
      </c>
      <c r="S109" s="56">
        <f t="shared" si="28"/>
        <v>0</v>
      </c>
      <c r="T109" s="21" t="e">
        <f t="shared" ca="1" si="29"/>
        <v>#VALUE!</v>
      </c>
      <c r="U109" s="21" t="e">
        <f t="shared" ca="1" si="30"/>
        <v>#VALUE!</v>
      </c>
      <c r="V109" s="21" t="e">
        <f t="shared" ca="1" si="31"/>
        <v>#VALUE!</v>
      </c>
      <c r="W109" s="60" t="e">
        <f t="shared" ca="1" si="32"/>
        <v>#VALUE!</v>
      </c>
      <c r="X109" s="61" t="e">
        <f t="shared" ca="1" si="33"/>
        <v>#VALUE!</v>
      </c>
    </row>
    <row r="110" spans="2:28" x14ac:dyDescent="0.25">
      <c r="B110" s="58" t="str">
        <f t="shared" si="27"/>
        <v/>
      </c>
      <c r="C110" s="55" t="str">
        <f t="shared" si="39"/>
        <v/>
      </c>
      <c r="D110" s="55" t="str">
        <f t="shared" ca="1" si="24"/>
        <v xml:space="preserve"> </v>
      </c>
      <c r="E110" s="58" t="str">
        <f t="shared" si="25"/>
        <v/>
      </c>
      <c r="F110" s="56" t="str">
        <f t="shared" si="38"/>
        <v/>
      </c>
      <c r="G110" s="56" t="str">
        <f>IF(AND(B109="",B111=""),"",IF(B110="",ROUND(SUM($G$25:G109),2),IF(B110=$E$8,$F$24-ROUND(SUM($G$25:G109),2),ROUND($F$24/$E$8,2))))</f>
        <v/>
      </c>
      <c r="H110" s="56" t="str">
        <f>IF(B109=$E$8,ROUND(SUM($H$25:H109),2),IF(B110&gt;$E$8,"",IF(U110&lt;&gt;U109,ROUND(SUM(W110*$E$9*F109/U110,X110*$E$9*F109/U109),2),ROUND(F109*$E$9*E110/U109,2))))</f>
        <v/>
      </c>
      <c r="I110" s="56" t="str">
        <f>IF(B109=$E$8,SUM($I$25:I109),IF(B109&gt;$E$8,"",G110+H110))</f>
        <v/>
      </c>
      <c r="J110" s="56" t="str">
        <f t="shared" si="40"/>
        <v/>
      </c>
      <c r="K110" s="56" t="str">
        <f t="shared" ref="K110:K120" si="42">IF(B109=$E$8,$K$24,"")</f>
        <v/>
      </c>
      <c r="L110" s="56"/>
      <c r="M110" s="56" t="str">
        <f t="shared" si="41"/>
        <v/>
      </c>
      <c r="N110" s="56" t="str">
        <f t="shared" si="36"/>
        <v/>
      </c>
      <c r="O110" s="56" t="str">
        <f t="shared" si="35"/>
        <v/>
      </c>
      <c r="Q110" s="59" t="str">
        <f>IF(B109=$E$8,XIRR(I$24:I109,D$24:D109),"")</f>
        <v/>
      </c>
      <c r="R110" s="56" t="str">
        <f t="shared" si="34"/>
        <v/>
      </c>
      <c r="S110" s="56">
        <f t="shared" si="28"/>
        <v>0</v>
      </c>
      <c r="T110" s="21" t="e">
        <f t="shared" ca="1" si="29"/>
        <v>#VALUE!</v>
      </c>
      <c r="U110" s="21" t="e">
        <f t="shared" ca="1" si="30"/>
        <v>#VALUE!</v>
      </c>
      <c r="V110" s="21" t="e">
        <f t="shared" ca="1" si="31"/>
        <v>#VALUE!</v>
      </c>
      <c r="W110" s="60" t="e">
        <f t="shared" ca="1" si="32"/>
        <v>#VALUE!</v>
      </c>
      <c r="X110" s="61" t="e">
        <f t="shared" ca="1" si="33"/>
        <v>#VALUE!</v>
      </c>
    </row>
    <row r="111" spans="2:28" x14ac:dyDescent="0.25">
      <c r="B111" s="58" t="str">
        <f t="shared" si="27"/>
        <v/>
      </c>
      <c r="C111" s="55" t="str">
        <f t="shared" si="39"/>
        <v/>
      </c>
      <c r="D111" s="55" t="str">
        <f t="shared" ca="1" si="24"/>
        <v xml:space="preserve"> </v>
      </c>
      <c r="E111" s="58" t="str">
        <f t="shared" si="25"/>
        <v/>
      </c>
      <c r="F111" s="56" t="str">
        <f t="shared" si="38"/>
        <v/>
      </c>
      <c r="G111" s="56" t="str">
        <f>IF(AND(B110="",B112=""),"",IF(B111="",ROUND(SUM($G$25:G110),2),IF(B111=$E$8,$F$24-ROUND(SUM($G$25:G110),2),ROUND($F$24/$E$8,2))))</f>
        <v/>
      </c>
      <c r="H111" s="56" t="str">
        <f>IF(B110=$E$8,ROUND(SUM($H$25:H110),2),IF(B111&gt;$E$8,"",IF(U111&lt;&gt;U110,ROUND(SUM(W111*$E$9*F110/U111,X111*$E$9*F110/U110),2),ROUND(F110*$E$9*E111/U110,2))))</f>
        <v/>
      </c>
      <c r="I111" s="56" t="str">
        <f>IF(B110=$E$8,SUM($I$25:I110),IF(B110&gt;$E$8,"",G111+H111))</f>
        <v/>
      </c>
      <c r="J111" s="56" t="str">
        <f t="shared" si="40"/>
        <v/>
      </c>
      <c r="K111" s="56" t="str">
        <f t="shared" si="42"/>
        <v/>
      </c>
      <c r="L111" s="56"/>
      <c r="M111" s="56" t="str">
        <f t="shared" si="41"/>
        <v/>
      </c>
      <c r="N111" s="56" t="str">
        <f t="shared" si="36"/>
        <v/>
      </c>
      <c r="O111" s="56" t="str">
        <f t="shared" si="35"/>
        <v/>
      </c>
      <c r="Q111" s="59" t="str">
        <f>IF(B110=$E$8,XIRR(I$24:I110,D$24:D110),"")</f>
        <v/>
      </c>
      <c r="R111" s="56" t="str">
        <f t="shared" si="34"/>
        <v/>
      </c>
      <c r="S111" s="56">
        <f t="shared" si="28"/>
        <v>0</v>
      </c>
      <c r="T111" s="21" t="e">
        <f t="shared" ca="1" si="29"/>
        <v>#VALUE!</v>
      </c>
      <c r="U111" s="21" t="e">
        <f t="shared" ca="1" si="30"/>
        <v>#VALUE!</v>
      </c>
      <c r="V111" s="21" t="e">
        <f t="shared" ca="1" si="31"/>
        <v>#VALUE!</v>
      </c>
      <c r="W111" s="60" t="e">
        <f t="shared" ca="1" si="32"/>
        <v>#VALUE!</v>
      </c>
      <c r="X111" s="61" t="e">
        <f t="shared" ca="1" si="33"/>
        <v>#VALUE!</v>
      </c>
    </row>
    <row r="112" spans="2:28" x14ac:dyDescent="0.25">
      <c r="B112" s="58" t="str">
        <f t="shared" si="27"/>
        <v/>
      </c>
      <c r="C112" s="55" t="str">
        <f t="shared" si="39"/>
        <v/>
      </c>
      <c r="D112" s="55" t="str">
        <f t="shared" ca="1" si="24"/>
        <v xml:space="preserve"> </v>
      </c>
      <c r="E112" s="58" t="str">
        <f t="shared" si="25"/>
        <v/>
      </c>
      <c r="F112" s="56" t="str">
        <f t="shared" si="38"/>
        <v/>
      </c>
      <c r="G112" s="56" t="str">
        <f>IF(AND(B111="",B113=""),"",IF(B112="",ROUND(SUM($G$25:G111),2),IF(B112=$E$8,$F$24-ROUND(SUM($G$25:G111),2),ROUND($F$24/$E$8,2))))</f>
        <v/>
      </c>
      <c r="H112" s="56" t="str">
        <f>IF(B111=$E$8,ROUND(SUM($H$25:H111),2),IF(B112&gt;$E$8,"",IF(U112&lt;&gt;U111,ROUND(SUM(W112*$E$9*F111/U112,X112*$E$9*F111/U111),2),ROUND(F111*$E$9*E112/U111,2))))</f>
        <v/>
      </c>
      <c r="I112" s="56" t="str">
        <f>IF(B111=$E$8,SUM($I$25:I111),IF(B111&gt;$E$8,"",G112+H112))</f>
        <v/>
      </c>
      <c r="J112" s="56" t="str">
        <f t="shared" si="40"/>
        <v/>
      </c>
      <c r="K112" s="56" t="str">
        <f t="shared" si="42"/>
        <v/>
      </c>
      <c r="L112" s="56"/>
      <c r="M112" s="56" t="str">
        <f t="shared" si="41"/>
        <v/>
      </c>
      <c r="N112" s="56" t="str">
        <f t="shared" si="36"/>
        <v/>
      </c>
      <c r="O112" s="56" t="str">
        <f t="shared" si="35"/>
        <v/>
      </c>
      <c r="Q112" s="59" t="str">
        <f>IF(B111=$E$8,XIRR(I$24:I111,D$24:D111),"")</f>
        <v/>
      </c>
      <c r="R112" s="56" t="str">
        <f t="shared" si="34"/>
        <v/>
      </c>
      <c r="S112" s="56">
        <f t="shared" si="28"/>
        <v>0</v>
      </c>
      <c r="T112" s="21" t="e">
        <f t="shared" ca="1" si="29"/>
        <v>#VALUE!</v>
      </c>
      <c r="U112" s="21" t="e">
        <f t="shared" ca="1" si="30"/>
        <v>#VALUE!</v>
      </c>
      <c r="V112" s="21" t="e">
        <f t="shared" ca="1" si="31"/>
        <v>#VALUE!</v>
      </c>
      <c r="W112" s="60" t="e">
        <f t="shared" ca="1" si="32"/>
        <v>#VALUE!</v>
      </c>
      <c r="X112" s="61" t="e">
        <f t="shared" ca="1" si="33"/>
        <v>#VALUE!</v>
      </c>
    </row>
    <row r="113" spans="2:24" x14ac:dyDescent="0.25">
      <c r="B113" s="58" t="str">
        <f t="shared" si="27"/>
        <v/>
      </c>
      <c r="C113" s="55" t="str">
        <f t="shared" si="39"/>
        <v/>
      </c>
      <c r="D113" s="55" t="str">
        <f t="shared" ca="1" si="24"/>
        <v xml:space="preserve"> </v>
      </c>
      <c r="E113" s="58" t="str">
        <f t="shared" si="25"/>
        <v/>
      </c>
      <c r="F113" s="56" t="str">
        <f t="shared" si="38"/>
        <v/>
      </c>
      <c r="G113" s="56" t="str">
        <f>IF(AND(B112="",B114=""),"",IF(B113="",ROUND(SUM($G$25:G112),2),IF(B113=$E$8,$F$24-ROUND(SUM($G$25:G112),2),ROUND($F$24/$E$8,2))))</f>
        <v/>
      </c>
      <c r="H113" s="56" t="str">
        <f>IF(B112=$E$8,ROUND(SUM($H$25:H112),2),IF(B113&gt;$E$8,"",IF(U113&lt;&gt;U112,ROUND(SUM(W113*$E$9*F112/U113,X113*$E$9*F112/U112),2),ROUND(F112*$E$9*E113/U112,2))))</f>
        <v/>
      </c>
      <c r="I113" s="56" t="str">
        <f>IF(B112=$E$8,SUM($I$25:I112),IF(B112&gt;$E$8,"",G113+H113))</f>
        <v/>
      </c>
      <c r="J113" s="56" t="str">
        <f t="shared" si="40"/>
        <v/>
      </c>
      <c r="K113" s="56" t="str">
        <f t="shared" si="42"/>
        <v/>
      </c>
      <c r="L113" s="56"/>
      <c r="M113" s="56" t="str">
        <f t="shared" si="41"/>
        <v/>
      </c>
      <c r="N113" s="56" t="str">
        <f t="shared" si="36"/>
        <v/>
      </c>
      <c r="O113" s="56" t="str">
        <f t="shared" si="35"/>
        <v/>
      </c>
      <c r="Q113" s="59" t="str">
        <f>IF(B112=$E$8,XIRR(I$24:I112,D$24:D112),"")</f>
        <v/>
      </c>
      <c r="R113" s="56" t="str">
        <f t="shared" si="34"/>
        <v/>
      </c>
      <c r="S113" s="56">
        <f t="shared" si="28"/>
        <v>0</v>
      </c>
      <c r="T113" s="21" t="e">
        <f t="shared" ca="1" si="29"/>
        <v>#VALUE!</v>
      </c>
      <c r="U113" s="21" t="e">
        <f t="shared" ca="1" si="30"/>
        <v>#VALUE!</v>
      </c>
      <c r="V113" s="21" t="e">
        <f t="shared" ca="1" si="31"/>
        <v>#VALUE!</v>
      </c>
      <c r="W113" s="60" t="e">
        <f t="shared" ca="1" si="32"/>
        <v>#VALUE!</v>
      </c>
      <c r="X113" s="61" t="e">
        <f t="shared" ca="1" si="33"/>
        <v>#VALUE!</v>
      </c>
    </row>
    <row r="114" spans="2:24" x14ac:dyDescent="0.25">
      <c r="B114" s="58" t="str">
        <f t="shared" si="27"/>
        <v/>
      </c>
      <c r="C114" s="55" t="str">
        <f t="shared" si="39"/>
        <v/>
      </c>
      <c r="D114" s="55" t="str">
        <f t="shared" ca="1" si="24"/>
        <v xml:space="preserve"> </v>
      </c>
      <c r="E114" s="58" t="str">
        <f t="shared" si="25"/>
        <v/>
      </c>
      <c r="F114" s="56" t="str">
        <f t="shared" si="38"/>
        <v/>
      </c>
      <c r="G114" s="56" t="str">
        <f>IF(AND(B113="",B115=""),"",IF(B114="",ROUND(SUM($G$25:G113),2),IF(B114=$E$8,$F$24-ROUND(SUM($G$25:G113),2),ROUND($F$24/$E$8,2))))</f>
        <v/>
      </c>
      <c r="H114" s="56" t="str">
        <f>IF(B113=$E$8,ROUND(SUM($H$25:H113),2),IF(B114&gt;$E$8,"",IF(U114&lt;&gt;U113,ROUND(SUM(W114*$E$9*F113/U114,X114*$E$9*F113/U113),2),ROUND(F113*$E$9*E114/U113,2))))</f>
        <v/>
      </c>
      <c r="I114" s="56" t="str">
        <f>IF(B113=$E$8,SUM($I$25:I113),IF(B113&gt;$E$8,"",G114+H114))</f>
        <v/>
      </c>
      <c r="J114" s="56" t="str">
        <f t="shared" si="40"/>
        <v/>
      </c>
      <c r="K114" s="56" t="str">
        <f t="shared" si="42"/>
        <v/>
      </c>
      <c r="L114" s="56"/>
      <c r="M114" s="56" t="str">
        <f t="shared" si="41"/>
        <v/>
      </c>
      <c r="N114" s="56" t="str">
        <f t="shared" si="36"/>
        <v/>
      </c>
      <c r="O114" s="56" t="str">
        <f t="shared" si="35"/>
        <v/>
      </c>
      <c r="Q114" s="59" t="str">
        <f>IF(B113=$E$8,XIRR(I$24:I113,D$24:D113),"")</f>
        <v/>
      </c>
      <c r="R114" s="56" t="str">
        <f t="shared" si="34"/>
        <v/>
      </c>
      <c r="S114" s="56">
        <f t="shared" si="28"/>
        <v>0</v>
      </c>
      <c r="T114" s="21" t="e">
        <f t="shared" ca="1" si="29"/>
        <v>#VALUE!</v>
      </c>
      <c r="U114" s="21" t="e">
        <f t="shared" ca="1" si="30"/>
        <v>#VALUE!</v>
      </c>
      <c r="V114" s="21" t="e">
        <f t="shared" ca="1" si="31"/>
        <v>#VALUE!</v>
      </c>
      <c r="W114" s="60" t="e">
        <f t="shared" ca="1" si="32"/>
        <v>#VALUE!</v>
      </c>
      <c r="X114" s="61" t="e">
        <f t="shared" ca="1" si="33"/>
        <v>#VALUE!</v>
      </c>
    </row>
    <row r="115" spans="2:24" x14ac:dyDescent="0.25">
      <c r="B115" s="58" t="str">
        <f t="shared" si="27"/>
        <v/>
      </c>
      <c r="C115" s="55" t="str">
        <f t="shared" si="39"/>
        <v/>
      </c>
      <c r="D115" s="55" t="str">
        <f t="shared" ca="1" si="24"/>
        <v xml:space="preserve"> </v>
      </c>
      <c r="E115" s="58" t="str">
        <f t="shared" si="25"/>
        <v/>
      </c>
      <c r="F115" s="56" t="str">
        <f t="shared" si="38"/>
        <v/>
      </c>
      <c r="G115" s="56" t="str">
        <f>IF(AND(B114="",B116=""),"",IF(B115="",ROUND(SUM($G$25:G114),2),IF(B115=$E$8,$F$24-ROUND(SUM($G$25:G114),2),ROUND($F$24/$E$8,2))))</f>
        <v/>
      </c>
      <c r="H115" s="56" t="str">
        <f>IF(B114=$E$8,ROUND(SUM($H$25:H114),2),IF(B115&gt;$E$8,"",IF(U115&lt;&gt;U114,ROUND(SUM(W115*$E$9*F114/U115,X115*$E$9*F114/U114),2),ROUND(F114*$E$9*E115/U114,2))))</f>
        <v/>
      </c>
      <c r="I115" s="56" t="str">
        <f>IF(B114=$E$8,SUM($I$25:I114),IF(B114&gt;$E$8,"",G115+H115))</f>
        <v/>
      </c>
      <c r="J115" s="56" t="str">
        <f t="shared" si="40"/>
        <v/>
      </c>
      <c r="K115" s="56" t="str">
        <f t="shared" si="42"/>
        <v/>
      </c>
      <c r="L115" s="56"/>
      <c r="M115" s="56" t="str">
        <f t="shared" si="41"/>
        <v/>
      </c>
      <c r="N115" s="56" t="str">
        <f t="shared" si="36"/>
        <v/>
      </c>
      <c r="O115" s="56" t="str">
        <f t="shared" si="35"/>
        <v/>
      </c>
      <c r="Q115" s="59" t="str">
        <f>IF(B114=$E$8,XIRR(I$24:I114,D$24:D114),"")</f>
        <v/>
      </c>
      <c r="R115" s="56" t="str">
        <f t="shared" si="34"/>
        <v/>
      </c>
      <c r="S115" s="56">
        <f t="shared" si="28"/>
        <v>0</v>
      </c>
      <c r="T115" s="21" t="e">
        <f t="shared" ca="1" si="29"/>
        <v>#VALUE!</v>
      </c>
      <c r="U115" s="21" t="e">
        <f t="shared" ca="1" si="30"/>
        <v>#VALUE!</v>
      </c>
      <c r="V115" s="21" t="e">
        <f t="shared" ca="1" si="31"/>
        <v>#VALUE!</v>
      </c>
      <c r="W115" s="60" t="e">
        <f t="shared" ca="1" si="32"/>
        <v>#VALUE!</v>
      </c>
      <c r="X115" s="61" t="e">
        <f t="shared" ca="1" si="33"/>
        <v>#VALUE!</v>
      </c>
    </row>
    <row r="116" spans="2:24" x14ac:dyDescent="0.25">
      <c r="B116" s="58" t="str">
        <f t="shared" si="27"/>
        <v/>
      </c>
      <c r="C116" s="55" t="str">
        <f t="shared" si="39"/>
        <v/>
      </c>
      <c r="D116" s="55" t="str">
        <f t="shared" ca="1" si="24"/>
        <v xml:space="preserve"> </v>
      </c>
      <c r="E116" s="58" t="str">
        <f t="shared" si="25"/>
        <v/>
      </c>
      <c r="F116" s="56" t="str">
        <f t="shared" si="38"/>
        <v/>
      </c>
      <c r="G116" s="56" t="str">
        <f>IF(AND(B115="",B117=""),"",IF(B116="",ROUND(SUM($G$25:G115),2),IF(B116=$E$8,$F$24-ROUND(SUM($G$25:G115),2),ROUND($F$24/$E$8,2))))</f>
        <v/>
      </c>
      <c r="H116" s="56" t="str">
        <f>IF(B115=$E$8,ROUND(SUM($H$25:H115),2),IF(B116&gt;$E$8,"",IF(U116&lt;&gt;U115,ROUND(SUM(W116*$E$9*F115/U116,X116*$E$9*F115/U115),2),ROUND(F115*$E$9*E116/U115,2))))</f>
        <v/>
      </c>
      <c r="I116" s="56" t="str">
        <f>IF(B115=$E$8,SUM($I$25:I115),IF(B115&gt;$E$8,"",G116+H116))</f>
        <v/>
      </c>
      <c r="J116" s="56" t="str">
        <f t="shared" si="40"/>
        <v/>
      </c>
      <c r="K116" s="56" t="str">
        <f t="shared" si="42"/>
        <v/>
      </c>
      <c r="L116" s="56"/>
      <c r="M116" s="56" t="str">
        <f t="shared" si="41"/>
        <v/>
      </c>
      <c r="N116" s="56" t="str">
        <f t="shared" si="36"/>
        <v/>
      </c>
      <c r="O116" s="56" t="str">
        <f t="shared" si="35"/>
        <v/>
      </c>
      <c r="Q116" s="59" t="str">
        <f>IF(B115=$E$8,XIRR(I$24:I115,D$24:D115),"")</f>
        <v/>
      </c>
      <c r="R116" s="56" t="str">
        <f t="shared" si="34"/>
        <v/>
      </c>
      <c r="S116" s="56">
        <f t="shared" si="28"/>
        <v>0</v>
      </c>
      <c r="T116" s="21" t="e">
        <f t="shared" ca="1" si="29"/>
        <v>#VALUE!</v>
      </c>
      <c r="U116" s="21" t="e">
        <f t="shared" ca="1" si="30"/>
        <v>#VALUE!</v>
      </c>
      <c r="V116" s="21" t="e">
        <f t="shared" ca="1" si="31"/>
        <v>#VALUE!</v>
      </c>
      <c r="W116" s="60" t="e">
        <f t="shared" ca="1" si="32"/>
        <v>#VALUE!</v>
      </c>
      <c r="X116" s="61" t="e">
        <f t="shared" ca="1" si="33"/>
        <v>#VALUE!</v>
      </c>
    </row>
    <row r="117" spans="2:24" x14ac:dyDescent="0.25">
      <c r="B117" s="58" t="str">
        <f t="shared" si="27"/>
        <v/>
      </c>
      <c r="C117" s="55" t="str">
        <f t="shared" si="39"/>
        <v/>
      </c>
      <c r="D117" s="55" t="str">
        <f t="shared" ca="1" si="24"/>
        <v xml:space="preserve"> </v>
      </c>
      <c r="E117" s="58" t="str">
        <f t="shared" si="25"/>
        <v/>
      </c>
      <c r="F117" s="56" t="str">
        <f t="shared" si="38"/>
        <v/>
      </c>
      <c r="G117" s="56" t="str">
        <f>IF(AND(B116="",B118=""),"",IF(B117="",ROUND(SUM($G$25:G116),2),IF(B117=$E$8,$F$24-ROUND(SUM($G$25:G116),2),ROUND($F$24/$E$8,2))))</f>
        <v/>
      </c>
      <c r="H117" s="56" t="str">
        <f>IF(B116=$E$8,ROUND(SUM($H$25:H116),2),IF(B117&gt;$E$8,"",IF(U117&lt;&gt;U116,ROUND(SUM(W117*$E$9*F116/U117,X117*$E$9*F116/U116),2),ROUND(F116*$E$9*E117/U116,2))))</f>
        <v/>
      </c>
      <c r="I117" s="56" t="str">
        <f>IF(B116=$E$8,SUM($I$25:I116),IF(B116&gt;$E$8,"",G117+H117))</f>
        <v/>
      </c>
      <c r="J117" s="56" t="str">
        <f t="shared" si="40"/>
        <v/>
      </c>
      <c r="K117" s="56" t="str">
        <f t="shared" si="42"/>
        <v/>
      </c>
      <c r="L117" s="56"/>
      <c r="M117" s="56" t="str">
        <f t="shared" si="41"/>
        <v/>
      </c>
      <c r="N117" s="56" t="str">
        <f t="shared" si="36"/>
        <v/>
      </c>
      <c r="O117" s="56" t="str">
        <f t="shared" si="35"/>
        <v/>
      </c>
      <c r="Q117" s="59" t="str">
        <f>IF(B116=$E$8,XIRR(I$24:I116,D$24:D116),"")</f>
        <v/>
      </c>
      <c r="R117" s="56" t="str">
        <f t="shared" si="34"/>
        <v/>
      </c>
      <c r="S117" s="56">
        <f t="shared" si="28"/>
        <v>0</v>
      </c>
      <c r="T117" s="21" t="e">
        <f t="shared" ca="1" si="29"/>
        <v>#VALUE!</v>
      </c>
      <c r="U117" s="21" t="e">
        <f t="shared" ca="1" si="30"/>
        <v>#VALUE!</v>
      </c>
      <c r="V117" s="21" t="e">
        <f t="shared" ca="1" si="31"/>
        <v>#VALUE!</v>
      </c>
      <c r="W117" s="60" t="e">
        <f t="shared" ca="1" si="32"/>
        <v>#VALUE!</v>
      </c>
      <c r="X117" s="61" t="e">
        <f t="shared" ca="1" si="33"/>
        <v>#VALUE!</v>
      </c>
    </row>
    <row r="118" spans="2:24" x14ac:dyDescent="0.25">
      <c r="B118" s="58" t="str">
        <f t="shared" si="27"/>
        <v/>
      </c>
      <c r="C118" s="55" t="str">
        <f t="shared" si="39"/>
        <v/>
      </c>
      <c r="D118" s="55" t="str">
        <f t="shared" ca="1" si="24"/>
        <v xml:space="preserve"> </v>
      </c>
      <c r="E118" s="58" t="str">
        <f t="shared" si="25"/>
        <v/>
      </c>
      <c r="F118" s="56" t="str">
        <f t="shared" si="38"/>
        <v/>
      </c>
      <c r="G118" s="56" t="str">
        <f>IF(AND(B117="",B119=""),"",IF(B118="",ROUND(SUM($G$25:G117),2),IF(B118=$E$8,$F$24-ROUND(SUM($G$25:G117),2),ROUND($F$24/$E$8,2))))</f>
        <v/>
      </c>
      <c r="H118" s="56" t="str">
        <f>IF(B117=$E$8,ROUND(SUM($H$25:H117),2),IF(B118&gt;$E$8,"",IF(U118&lt;&gt;U117,ROUND(SUM(W118*$E$9*F117/U118,X118*$E$9*F117/U117),2),ROUND(F117*$E$9*E118/U117,2))))</f>
        <v/>
      </c>
      <c r="I118" s="56" t="str">
        <f>IF(B117=$E$8,SUM($I$25:I117),IF(B117&gt;$E$8,"",G118+H118))</f>
        <v/>
      </c>
      <c r="J118" s="56" t="str">
        <f t="shared" si="40"/>
        <v/>
      </c>
      <c r="K118" s="56" t="str">
        <f t="shared" si="42"/>
        <v/>
      </c>
      <c r="L118" s="56"/>
      <c r="M118" s="56" t="str">
        <f t="shared" si="41"/>
        <v/>
      </c>
      <c r="N118" s="56" t="str">
        <f t="shared" si="36"/>
        <v/>
      </c>
      <c r="O118" s="56" t="str">
        <f t="shared" si="35"/>
        <v/>
      </c>
      <c r="Q118" s="59" t="str">
        <f>IF(B117=$E$8,XIRR(I$24:I117,D$24:D117),"")</f>
        <v/>
      </c>
      <c r="R118" s="56" t="str">
        <f t="shared" si="34"/>
        <v/>
      </c>
      <c r="S118" s="56">
        <f t="shared" si="28"/>
        <v>0</v>
      </c>
      <c r="T118" s="21" t="e">
        <f t="shared" ca="1" si="29"/>
        <v>#VALUE!</v>
      </c>
      <c r="U118" s="21" t="e">
        <f t="shared" ca="1" si="30"/>
        <v>#VALUE!</v>
      </c>
      <c r="V118" s="21" t="e">
        <f t="shared" ca="1" si="31"/>
        <v>#VALUE!</v>
      </c>
      <c r="W118" s="60" t="e">
        <f t="shared" ca="1" si="32"/>
        <v>#VALUE!</v>
      </c>
      <c r="X118" s="61" t="e">
        <f t="shared" ca="1" si="33"/>
        <v>#VALUE!</v>
      </c>
    </row>
    <row r="119" spans="2:24" x14ac:dyDescent="0.25">
      <c r="B119" s="58" t="str">
        <f t="shared" si="27"/>
        <v/>
      </c>
      <c r="C119" s="55" t="str">
        <f t="shared" si="39"/>
        <v/>
      </c>
      <c r="D119" s="55" t="str">
        <f t="shared" ca="1" si="24"/>
        <v xml:space="preserve"> </v>
      </c>
      <c r="E119" s="58" t="str">
        <f t="shared" si="25"/>
        <v/>
      </c>
      <c r="F119" s="56" t="str">
        <f t="shared" si="38"/>
        <v/>
      </c>
      <c r="G119" s="56" t="str">
        <f>IF(AND(B118="",B120=""),"",IF(B119="",ROUND(SUM($G$25:G118),2),IF(B119=$E$8,$F$24-ROUND(SUM($G$25:G118),2),ROUND($F$24/$E$8,2))))</f>
        <v/>
      </c>
      <c r="H119" s="56" t="str">
        <f>IF(B118=$E$8,ROUND(SUM($H$25:H118),2),IF(B119&gt;$E$8,"",IF(U119&lt;&gt;U118,ROUND(SUM(W119*$E$9*F118/U119,X119*$E$9*F118/U118),2),ROUND(F118*$E$9*E119/U118,2))))</f>
        <v/>
      </c>
      <c r="I119" s="56" t="str">
        <f>IF(B118=$E$8,SUM($I$25:I118),IF(B118&gt;$E$8,"",G119+H119))</f>
        <v/>
      </c>
      <c r="J119" s="56" t="str">
        <f t="shared" si="40"/>
        <v/>
      </c>
      <c r="K119" s="56" t="str">
        <f t="shared" si="42"/>
        <v/>
      </c>
      <c r="L119" s="56"/>
      <c r="M119" s="56" t="str">
        <f t="shared" si="41"/>
        <v/>
      </c>
      <c r="N119" s="56" t="str">
        <f t="shared" si="36"/>
        <v/>
      </c>
      <c r="O119" s="56" t="str">
        <f t="shared" si="35"/>
        <v/>
      </c>
      <c r="Q119" s="59" t="str">
        <f>IF(B118=$E$8,XIRR(I$24:I118,D$24:D118),"")</f>
        <v/>
      </c>
      <c r="R119" s="56" t="str">
        <f t="shared" si="34"/>
        <v/>
      </c>
      <c r="S119" s="56">
        <f t="shared" si="28"/>
        <v>0</v>
      </c>
      <c r="T119" s="21" t="e">
        <f t="shared" ca="1" si="29"/>
        <v>#VALUE!</v>
      </c>
      <c r="U119" s="21" t="e">
        <f t="shared" ca="1" si="30"/>
        <v>#VALUE!</v>
      </c>
      <c r="V119" s="21" t="e">
        <f t="shared" ca="1" si="31"/>
        <v>#VALUE!</v>
      </c>
      <c r="W119" s="60" t="e">
        <f t="shared" ca="1" si="32"/>
        <v>#VALUE!</v>
      </c>
      <c r="X119" s="61" t="e">
        <f t="shared" ca="1" si="33"/>
        <v>#VALUE!</v>
      </c>
    </row>
    <row r="120" spans="2:24" x14ac:dyDescent="0.25">
      <c r="B120" s="58" t="str">
        <f t="shared" si="27"/>
        <v/>
      </c>
      <c r="C120" s="55" t="str">
        <f t="shared" si="39"/>
        <v/>
      </c>
      <c r="D120" s="55" t="str">
        <f t="shared" ca="1" si="24"/>
        <v xml:space="preserve"> </v>
      </c>
      <c r="E120" s="58" t="str">
        <f t="shared" si="25"/>
        <v/>
      </c>
      <c r="F120" s="56" t="str">
        <f t="shared" si="38"/>
        <v/>
      </c>
      <c r="G120" s="56" t="str">
        <f>IF(AND(B119="",B121=""),"",IF(B120="",ROUND(SUM($G$25:G119),2),IF(B120=$E$8,$F$24-ROUND(SUM($G$25:G119),2),ROUND($F$24/$E$8,2))))</f>
        <v/>
      </c>
      <c r="H120" s="56" t="str">
        <f>IF(B119=$E$8,ROUND(SUM($H$25:H119),2),IF(B120&gt;$E$8,"",IF(U120&lt;&gt;U119,ROUND(SUM(W120*$E$9*F119/U120,X120*$E$9*F119/U119),2),ROUND(F119*$E$9*E120/U119,2))))</f>
        <v/>
      </c>
      <c r="I120" s="56" t="str">
        <f>IF(B119=$E$8,SUM($I$25:I119),IF(B119&gt;$E$8,"",G120+H120))</f>
        <v/>
      </c>
      <c r="J120" s="56" t="str">
        <f t="shared" si="40"/>
        <v/>
      </c>
      <c r="K120" s="56" t="str">
        <f t="shared" si="42"/>
        <v/>
      </c>
      <c r="L120" s="56"/>
      <c r="M120" s="56" t="str">
        <f t="shared" si="41"/>
        <v/>
      </c>
      <c r="N120" s="56" t="str">
        <f t="shared" si="36"/>
        <v/>
      </c>
      <c r="O120" s="56" t="str">
        <f t="shared" si="35"/>
        <v/>
      </c>
      <c r="Q120" s="59" t="str">
        <f>IF(B119=$E$8,XIRR(I$24:I119,D$24:D119),"")</f>
        <v/>
      </c>
      <c r="R120" s="56" t="str">
        <f t="shared" si="34"/>
        <v/>
      </c>
      <c r="S120" s="56">
        <f t="shared" si="28"/>
        <v>0</v>
      </c>
      <c r="T120" s="21" t="e">
        <f t="shared" ca="1" si="29"/>
        <v>#VALUE!</v>
      </c>
      <c r="U120" s="21" t="e">
        <f t="shared" ca="1" si="30"/>
        <v>#VALUE!</v>
      </c>
      <c r="V120" s="21" t="e">
        <f t="shared" ca="1" si="31"/>
        <v>#VALUE!</v>
      </c>
      <c r="W120" s="60" t="e">
        <f t="shared" ca="1" si="32"/>
        <v>#VALUE!</v>
      </c>
      <c r="X120" s="61" t="e">
        <f t="shared" ca="1" si="33"/>
        <v>#VALUE!</v>
      </c>
    </row>
    <row r="121" spans="2:24" x14ac:dyDescent="0.25">
      <c r="B121" s="58" t="str">
        <f t="shared" si="27"/>
        <v/>
      </c>
      <c r="C121" s="55" t="str">
        <f t="shared" si="39"/>
        <v/>
      </c>
      <c r="D121" s="55" t="str">
        <f t="shared" ca="1" si="24"/>
        <v xml:space="preserve"> </v>
      </c>
      <c r="E121" s="58" t="str">
        <f t="shared" si="25"/>
        <v/>
      </c>
      <c r="F121" s="56" t="str">
        <f t="shared" si="38"/>
        <v/>
      </c>
      <c r="G121" s="56" t="str">
        <f>IF(AND(B120="",B122=""),"",IF(B121="",ROUND(SUM($G$25:G120),2),IF(B121=$E$8,$F$24-ROUND(SUM($G$25:G120),2),ROUND($F$24/$E$8,2))))</f>
        <v/>
      </c>
      <c r="H121" s="56" t="str">
        <f>IF(B120=$E$8,ROUND(SUM($H$25:H120),2),IF(B121&gt;$E$8,"",IF(U121&lt;&gt;U120,ROUND(SUM(W121*$E$9*F120/U121,X121*$E$9*F120/U120),2),ROUND(F120*$E$9*E121/U120,2))))</f>
        <v/>
      </c>
      <c r="I121" s="56" t="str">
        <f>IF(B120=$E$8,SUM($I$25:I120),IF(B120&gt;$E$8,"",G121+H121))</f>
        <v/>
      </c>
      <c r="J121" s="56" t="str">
        <f t="shared" si="40"/>
        <v/>
      </c>
      <c r="K121" s="56" t="str">
        <f>IF($E$8&gt;B120,$O$9,IF($E$8=B120,SUM($K$24:K120)," "))</f>
        <v xml:space="preserve"> </v>
      </c>
      <c r="L121" s="56" t="str">
        <f>IF($E$8&gt;96,($P$8+$O$10*F120),IF($B$120=$E$8,$L$37+$L$24+$L$49+$L$61+$L$73+$L$85+$L$97+$L$109,""))</f>
        <v/>
      </c>
      <c r="M121" s="56" t="str">
        <f t="shared" si="41"/>
        <v/>
      </c>
      <c r="N121" s="56" t="str">
        <f t="shared" si="36"/>
        <v/>
      </c>
      <c r="O121" s="56" t="str">
        <f t="shared" si="35"/>
        <v/>
      </c>
      <c r="Q121" s="59" t="str">
        <f>IF(B120=$E$8,XIRR(I$24:I120,D$24:D120),"")</f>
        <v/>
      </c>
      <c r="R121" s="56" t="str">
        <f t="shared" si="34"/>
        <v/>
      </c>
      <c r="S121" s="56">
        <f t="shared" si="28"/>
        <v>0</v>
      </c>
      <c r="T121" s="21" t="e">
        <f t="shared" ca="1" si="29"/>
        <v>#VALUE!</v>
      </c>
      <c r="U121" s="21" t="e">
        <f t="shared" ca="1" si="30"/>
        <v>#VALUE!</v>
      </c>
      <c r="V121" s="21" t="e">
        <f t="shared" ca="1" si="31"/>
        <v>#VALUE!</v>
      </c>
      <c r="W121" s="60" t="e">
        <f t="shared" ca="1" si="32"/>
        <v>#VALUE!</v>
      </c>
      <c r="X121" s="61" t="e">
        <f t="shared" ca="1" si="33"/>
        <v>#VALUE!</v>
      </c>
    </row>
    <row r="122" spans="2:24" x14ac:dyDescent="0.25">
      <c r="B122" s="58" t="str">
        <f t="shared" si="27"/>
        <v/>
      </c>
      <c r="C122" s="55" t="str">
        <f t="shared" si="39"/>
        <v/>
      </c>
      <c r="D122" s="55" t="str">
        <f t="shared" ca="1" si="24"/>
        <v xml:space="preserve"> </v>
      </c>
      <c r="E122" s="58" t="str">
        <f t="shared" si="25"/>
        <v/>
      </c>
      <c r="F122" s="56" t="str">
        <f t="shared" si="38"/>
        <v/>
      </c>
      <c r="G122" s="56" t="str">
        <f>IF(AND(B121="",B123=""),"",IF(B122="",ROUND(SUM($G$25:G121),2),IF(B122=$E$8,$F$24-ROUND(SUM($G$25:G121),2),ROUND($F$24/$E$8,2))))</f>
        <v/>
      </c>
      <c r="H122" s="56" t="str">
        <f>IF(B121=$E$8,ROUND(SUM($H$25:H121),2),IF(B122&gt;$E$8,"",IF(U122&lt;&gt;U121,ROUND(SUM(W122*$E$9*F121/U122,X122*$E$9*F121/U121),2),ROUND(F121*$E$9*E122/U121,2))))</f>
        <v/>
      </c>
      <c r="I122" s="56" t="str">
        <f>IF(B121=$E$8,SUM($I$25:I121),IF(B121&gt;$E$8,"",G122+H122))</f>
        <v/>
      </c>
      <c r="J122" s="56" t="str">
        <f t="shared" si="40"/>
        <v/>
      </c>
      <c r="K122" s="56" t="str">
        <f t="shared" ref="K122:K132" si="43">IF(B121=$E$8,$K$24,"")</f>
        <v/>
      </c>
      <c r="L122" s="56"/>
      <c r="M122" s="56" t="str">
        <f t="shared" si="41"/>
        <v/>
      </c>
      <c r="N122" s="56" t="str">
        <f t="shared" si="36"/>
        <v/>
      </c>
      <c r="O122" s="56" t="str">
        <f t="shared" si="35"/>
        <v/>
      </c>
      <c r="Q122" s="59" t="str">
        <f>IF(B121=$E$8,XIRR(I$24:I121,D$24:D121),"")</f>
        <v/>
      </c>
      <c r="R122" s="56" t="str">
        <f t="shared" si="34"/>
        <v/>
      </c>
      <c r="S122" s="56">
        <f t="shared" si="28"/>
        <v>0</v>
      </c>
      <c r="T122" s="21" t="e">
        <f t="shared" ca="1" si="29"/>
        <v>#VALUE!</v>
      </c>
      <c r="U122" s="21" t="e">
        <f t="shared" ca="1" si="30"/>
        <v>#VALUE!</v>
      </c>
      <c r="V122" s="21" t="e">
        <f t="shared" ca="1" si="31"/>
        <v>#VALUE!</v>
      </c>
      <c r="W122" s="60" t="e">
        <f t="shared" ca="1" si="32"/>
        <v>#VALUE!</v>
      </c>
      <c r="X122" s="61" t="e">
        <f t="shared" ca="1" si="33"/>
        <v>#VALUE!</v>
      </c>
    </row>
    <row r="123" spans="2:24" x14ac:dyDescent="0.25">
      <c r="B123" s="58" t="str">
        <f t="shared" si="27"/>
        <v/>
      </c>
      <c r="C123" s="55" t="str">
        <f t="shared" si="39"/>
        <v/>
      </c>
      <c r="D123" s="55" t="str">
        <f t="shared" ca="1" si="24"/>
        <v xml:space="preserve"> </v>
      </c>
      <c r="E123" s="58" t="str">
        <f t="shared" si="25"/>
        <v/>
      </c>
      <c r="F123" s="56" t="str">
        <f t="shared" si="38"/>
        <v/>
      </c>
      <c r="G123" s="56" t="str">
        <f>IF(AND(B122="",B124=""),"",IF(B123="",ROUND(SUM($G$25:G122),2),IF(B123=$E$8,$F$24-ROUND(SUM($G$25:G122),2),ROUND($F$24/$E$8,2))))</f>
        <v/>
      </c>
      <c r="H123" s="56" t="str">
        <f>IF(B122=$E$8,ROUND(SUM($H$25:H122),2),IF(B123&gt;$E$8,"",IF(U123&lt;&gt;U122,ROUND(SUM(W123*$E$9*F122/U123,X123*$E$9*F122/U122),2),ROUND(F122*$E$9*E123/U122,2))))</f>
        <v/>
      </c>
      <c r="I123" s="56" t="str">
        <f>IF(B122=$E$8,SUM($I$25:I122),IF(B122&gt;$E$8,"",G123+H123))</f>
        <v/>
      </c>
      <c r="J123" s="56" t="str">
        <f t="shared" si="40"/>
        <v/>
      </c>
      <c r="K123" s="56" t="str">
        <f t="shared" si="43"/>
        <v/>
      </c>
      <c r="L123" s="56"/>
      <c r="M123" s="56" t="str">
        <f t="shared" si="41"/>
        <v/>
      </c>
      <c r="N123" s="56" t="str">
        <f t="shared" si="36"/>
        <v/>
      </c>
      <c r="O123" s="56" t="str">
        <f t="shared" si="35"/>
        <v/>
      </c>
      <c r="Q123" s="59" t="str">
        <f>IF(B122=$E$8,XIRR(I$24:I122,D$24:D122),"")</f>
        <v/>
      </c>
      <c r="R123" s="56" t="str">
        <f t="shared" si="34"/>
        <v/>
      </c>
      <c r="S123" s="56">
        <f t="shared" si="28"/>
        <v>0</v>
      </c>
      <c r="T123" s="21" t="e">
        <f t="shared" ca="1" si="29"/>
        <v>#VALUE!</v>
      </c>
      <c r="U123" s="21" t="e">
        <f t="shared" ca="1" si="30"/>
        <v>#VALUE!</v>
      </c>
      <c r="V123" s="21" t="e">
        <f t="shared" ca="1" si="31"/>
        <v>#VALUE!</v>
      </c>
      <c r="W123" s="60" t="e">
        <f t="shared" ca="1" si="32"/>
        <v>#VALUE!</v>
      </c>
      <c r="X123" s="61" t="e">
        <f t="shared" ca="1" si="33"/>
        <v>#VALUE!</v>
      </c>
    </row>
    <row r="124" spans="2:24" x14ac:dyDescent="0.25">
      <c r="B124" s="58" t="str">
        <f t="shared" si="27"/>
        <v/>
      </c>
      <c r="C124" s="55" t="str">
        <f t="shared" si="39"/>
        <v/>
      </c>
      <c r="D124" s="55" t="str">
        <f t="shared" ca="1" si="24"/>
        <v xml:space="preserve"> </v>
      </c>
      <c r="E124" s="58" t="str">
        <f t="shared" si="25"/>
        <v/>
      </c>
      <c r="F124" s="56" t="str">
        <f t="shared" si="38"/>
        <v/>
      </c>
      <c r="G124" s="56" t="str">
        <f>IF(AND(B123="",B125=""),"",IF(B124="",ROUND(SUM($G$25:G123),2),IF(B124=$E$8,$F$24-ROUND(SUM($G$25:G123),2),ROUND($F$24/$E$8,2))))</f>
        <v/>
      </c>
      <c r="H124" s="56" t="str">
        <f>IF(B123=$E$8,ROUND(SUM($H$25:H123),2),IF(B124&gt;$E$8,"",IF(U124&lt;&gt;U123,ROUND(SUM(W124*$E$9*F123/U124,X124*$E$9*F123/U123),2),ROUND(F123*$E$9*E124/U123,2))))</f>
        <v/>
      </c>
      <c r="I124" s="56" t="str">
        <f>IF(B123=$E$8,SUM($I$25:I123),IF(B123&gt;$E$8,"",G124+H124))</f>
        <v/>
      </c>
      <c r="J124" s="56" t="str">
        <f t="shared" si="40"/>
        <v/>
      </c>
      <c r="K124" s="56" t="str">
        <f t="shared" si="43"/>
        <v/>
      </c>
      <c r="L124" s="56"/>
      <c r="M124" s="56" t="str">
        <f t="shared" si="41"/>
        <v/>
      </c>
      <c r="N124" s="56" t="str">
        <f t="shared" si="36"/>
        <v/>
      </c>
      <c r="O124" s="56" t="str">
        <f t="shared" si="35"/>
        <v/>
      </c>
      <c r="Q124" s="59" t="str">
        <f>IF(B123=$E$8,XIRR(I$24:I123,D$24:D123),"")</f>
        <v/>
      </c>
      <c r="R124" s="56" t="str">
        <f t="shared" si="34"/>
        <v/>
      </c>
      <c r="S124" s="56">
        <f t="shared" si="28"/>
        <v>0</v>
      </c>
      <c r="T124" s="21" t="e">
        <f t="shared" ca="1" si="29"/>
        <v>#VALUE!</v>
      </c>
      <c r="U124" s="21" t="e">
        <f t="shared" ca="1" si="30"/>
        <v>#VALUE!</v>
      </c>
      <c r="V124" s="21" t="e">
        <f t="shared" ca="1" si="31"/>
        <v>#VALUE!</v>
      </c>
      <c r="W124" s="60" t="e">
        <f t="shared" ca="1" si="32"/>
        <v>#VALUE!</v>
      </c>
      <c r="X124" s="61" t="e">
        <f t="shared" ca="1" si="33"/>
        <v>#VALUE!</v>
      </c>
    </row>
    <row r="125" spans="2:24" x14ac:dyDescent="0.25">
      <c r="B125" s="58" t="str">
        <f t="shared" si="27"/>
        <v/>
      </c>
      <c r="C125" s="55" t="str">
        <f t="shared" si="39"/>
        <v/>
      </c>
      <c r="D125" s="55" t="str">
        <f t="shared" ca="1" si="24"/>
        <v xml:space="preserve"> </v>
      </c>
      <c r="E125" s="58" t="str">
        <f t="shared" si="25"/>
        <v/>
      </c>
      <c r="F125" s="56" t="str">
        <f t="shared" si="38"/>
        <v/>
      </c>
      <c r="G125" s="56" t="str">
        <f>IF(AND(B124="",B126=""),"",IF(B125="",ROUND(SUM($G$25:G124),2),IF(B125=$E$8,$F$24-ROUND(SUM($G$25:G124),2),ROUND($F$24/$E$8,2))))</f>
        <v/>
      </c>
      <c r="H125" s="56" t="str">
        <f>IF(B124=$E$8,ROUND(SUM($H$25:H124),2),IF(B125&gt;$E$8,"",IF(U125&lt;&gt;U124,ROUND(SUM(W125*$E$9*F124/U125,X125*$E$9*F124/U124),2),ROUND(F124*$E$9*E125/U124,2))))</f>
        <v/>
      </c>
      <c r="I125" s="56" t="str">
        <f>IF(B124=$E$8,SUM($I$25:I124),IF(B124&gt;$E$8,"",G125+H125))</f>
        <v/>
      </c>
      <c r="J125" s="56" t="str">
        <f t="shared" si="40"/>
        <v/>
      </c>
      <c r="K125" s="56" t="str">
        <f t="shared" si="43"/>
        <v/>
      </c>
      <c r="L125" s="56"/>
      <c r="M125" s="56" t="str">
        <f t="shared" si="41"/>
        <v/>
      </c>
      <c r="N125" s="56" t="str">
        <f t="shared" si="36"/>
        <v/>
      </c>
      <c r="O125" s="56" t="str">
        <f t="shared" si="35"/>
        <v/>
      </c>
      <c r="Q125" s="59" t="str">
        <f>IF(B124=$E$8,XIRR(I$24:I124,D$24:D124),"")</f>
        <v/>
      </c>
      <c r="R125" s="56" t="str">
        <f t="shared" si="34"/>
        <v/>
      </c>
      <c r="S125" s="56">
        <f t="shared" si="28"/>
        <v>0</v>
      </c>
      <c r="T125" s="21" t="e">
        <f t="shared" ca="1" si="29"/>
        <v>#VALUE!</v>
      </c>
      <c r="U125" s="21" t="e">
        <f t="shared" ca="1" si="30"/>
        <v>#VALUE!</v>
      </c>
      <c r="V125" s="21" t="e">
        <f t="shared" ca="1" si="31"/>
        <v>#VALUE!</v>
      </c>
      <c r="W125" s="60" t="e">
        <f t="shared" ca="1" si="32"/>
        <v>#VALUE!</v>
      </c>
      <c r="X125" s="61" t="e">
        <f t="shared" ca="1" si="33"/>
        <v>#VALUE!</v>
      </c>
    </row>
    <row r="126" spans="2:24" x14ac:dyDescent="0.25">
      <c r="B126" s="58" t="str">
        <f t="shared" si="27"/>
        <v/>
      </c>
      <c r="C126" s="55" t="str">
        <f t="shared" si="39"/>
        <v/>
      </c>
      <c r="D126" s="55" t="str">
        <f t="shared" ca="1" si="24"/>
        <v xml:space="preserve"> </v>
      </c>
      <c r="E126" s="58" t="str">
        <f t="shared" si="25"/>
        <v/>
      </c>
      <c r="F126" s="56" t="str">
        <f t="shared" si="38"/>
        <v/>
      </c>
      <c r="G126" s="56" t="str">
        <f>IF(AND(B125="",B127=""),"",IF(B126="",ROUND(SUM($G$25:G125),2),IF(B126=$E$8,$F$24-ROUND(SUM($G$25:G125),2),ROUND($F$24/$E$8,2))))</f>
        <v/>
      </c>
      <c r="H126" s="56" t="str">
        <f>IF(B125=$E$8,ROUND(SUM($H$25:H125),2),IF(B126&gt;$E$8,"",IF(U126&lt;&gt;U125,ROUND(SUM(W126*$E$9*F125/U126,X126*$E$9*F125/U125),2),ROUND(F125*$E$9*E126/U125,2))))</f>
        <v/>
      </c>
      <c r="I126" s="56" t="str">
        <f>IF(B125=$E$8,SUM($I$25:I125),IF(B125&gt;$E$8,"",G126+H126))</f>
        <v/>
      </c>
      <c r="J126" s="56" t="str">
        <f t="shared" si="40"/>
        <v/>
      </c>
      <c r="K126" s="56" t="str">
        <f t="shared" si="43"/>
        <v/>
      </c>
      <c r="L126" s="56"/>
      <c r="M126" s="56" t="str">
        <f t="shared" si="41"/>
        <v/>
      </c>
      <c r="N126" s="56" t="str">
        <f t="shared" si="36"/>
        <v/>
      </c>
      <c r="O126" s="56" t="str">
        <f t="shared" si="35"/>
        <v/>
      </c>
      <c r="Q126" s="59" t="str">
        <f>IF(B125=$E$8,XIRR(I$24:I125,D$24:D125),"")</f>
        <v/>
      </c>
      <c r="R126" s="56" t="str">
        <f t="shared" si="34"/>
        <v/>
      </c>
      <c r="S126" s="56">
        <f t="shared" si="28"/>
        <v>0</v>
      </c>
      <c r="T126" s="21" t="e">
        <f t="shared" ca="1" si="29"/>
        <v>#VALUE!</v>
      </c>
      <c r="U126" s="21" t="e">
        <f t="shared" ca="1" si="30"/>
        <v>#VALUE!</v>
      </c>
      <c r="V126" s="21" t="e">
        <f t="shared" ca="1" si="31"/>
        <v>#VALUE!</v>
      </c>
      <c r="W126" s="60" t="e">
        <f t="shared" ca="1" si="32"/>
        <v>#VALUE!</v>
      </c>
      <c r="X126" s="61" t="e">
        <f t="shared" ca="1" si="33"/>
        <v>#VALUE!</v>
      </c>
    </row>
    <row r="127" spans="2:24" x14ac:dyDescent="0.25">
      <c r="B127" s="58" t="str">
        <f t="shared" si="27"/>
        <v/>
      </c>
      <c r="C127" s="55" t="str">
        <f t="shared" si="39"/>
        <v/>
      </c>
      <c r="D127" s="55" t="str">
        <f t="shared" ca="1" si="24"/>
        <v xml:space="preserve"> </v>
      </c>
      <c r="E127" s="58" t="str">
        <f t="shared" si="25"/>
        <v/>
      </c>
      <c r="F127" s="56" t="str">
        <f t="shared" si="38"/>
        <v/>
      </c>
      <c r="G127" s="56" t="str">
        <f>IF(AND(B126="",B128=""),"",IF(B127="",ROUND(SUM($G$25:G126),2),IF(B127=$E$8,$F$24-ROUND(SUM($G$25:G126),2),ROUND($F$24/$E$8,2))))</f>
        <v/>
      </c>
      <c r="H127" s="56" t="str">
        <f>IF(B126=$E$8,ROUND(SUM($H$25:H126),2),IF(B127&gt;$E$8,"",IF(U127&lt;&gt;U126,ROUND(SUM(W127*$E$9*F126/U127,X127*$E$9*F126/U126),2),ROUND(F126*$E$9*E127/U126,2))))</f>
        <v/>
      </c>
      <c r="I127" s="56" t="str">
        <f>IF(B126=$E$8,SUM($I$25:I126),IF(B126&gt;$E$8,"",G127+H127))</f>
        <v/>
      </c>
      <c r="J127" s="56" t="str">
        <f t="shared" si="40"/>
        <v/>
      </c>
      <c r="K127" s="56" t="str">
        <f t="shared" si="43"/>
        <v/>
      </c>
      <c r="L127" s="56"/>
      <c r="M127" s="56" t="str">
        <f t="shared" si="41"/>
        <v/>
      </c>
      <c r="N127" s="56" t="str">
        <f t="shared" si="36"/>
        <v/>
      </c>
      <c r="O127" s="56" t="str">
        <f t="shared" si="35"/>
        <v/>
      </c>
      <c r="Q127" s="59" t="str">
        <f>IF(B126=$E$8,XIRR(I$24:I126,D$24:D126),"")</f>
        <v/>
      </c>
      <c r="R127" s="56" t="str">
        <f t="shared" si="34"/>
        <v/>
      </c>
      <c r="S127" s="56">
        <f t="shared" si="28"/>
        <v>0</v>
      </c>
      <c r="T127" s="21" t="e">
        <f t="shared" ca="1" si="29"/>
        <v>#VALUE!</v>
      </c>
      <c r="U127" s="21" t="e">
        <f t="shared" ca="1" si="30"/>
        <v>#VALUE!</v>
      </c>
      <c r="V127" s="21" t="e">
        <f t="shared" ca="1" si="31"/>
        <v>#VALUE!</v>
      </c>
      <c r="W127" s="60" t="e">
        <f t="shared" ca="1" si="32"/>
        <v>#VALUE!</v>
      </c>
      <c r="X127" s="61" t="e">
        <f t="shared" ca="1" si="33"/>
        <v>#VALUE!</v>
      </c>
    </row>
    <row r="128" spans="2:24" x14ac:dyDescent="0.25">
      <c r="B128" s="58" t="str">
        <f t="shared" si="27"/>
        <v/>
      </c>
      <c r="C128" s="55" t="str">
        <f t="shared" si="39"/>
        <v/>
      </c>
      <c r="D128" s="55" t="str">
        <f t="shared" ca="1" si="24"/>
        <v xml:space="preserve"> </v>
      </c>
      <c r="E128" s="58" t="str">
        <f t="shared" si="25"/>
        <v/>
      </c>
      <c r="F128" s="56" t="str">
        <f t="shared" si="38"/>
        <v/>
      </c>
      <c r="G128" s="56" t="str">
        <f>IF(AND(B127="",B129=""),"",IF(B128="",ROUND(SUM($G$25:G127),2),IF(B128=$E$8,$F$24-ROUND(SUM($G$25:G127),2),ROUND($F$24/$E$8,2))))</f>
        <v/>
      </c>
      <c r="H128" s="56" t="str">
        <f>IF(B127=$E$8,ROUND(SUM($H$25:H127),2),IF(B128&gt;$E$8,"",IF(U128&lt;&gt;U127,ROUND(SUM(W128*$E$9*F127/U128,X128*$E$9*F127/U127),2),ROUND(F127*$E$9*E128/U127,2))))</f>
        <v/>
      </c>
      <c r="I128" s="56" t="str">
        <f>IF(B127=$E$8,SUM($I$25:I127),IF(B127&gt;$E$8,"",G128+H128))</f>
        <v/>
      </c>
      <c r="J128" s="56" t="str">
        <f t="shared" si="40"/>
        <v/>
      </c>
      <c r="K128" s="56" t="str">
        <f t="shared" si="43"/>
        <v/>
      </c>
      <c r="L128" s="56"/>
      <c r="M128" s="56" t="str">
        <f t="shared" si="41"/>
        <v/>
      </c>
      <c r="N128" s="56" t="str">
        <f t="shared" si="36"/>
        <v/>
      </c>
      <c r="O128" s="56" t="str">
        <f t="shared" si="35"/>
        <v/>
      </c>
      <c r="Q128" s="59" t="str">
        <f>IF(B127=$E$8,XIRR(I$24:I127,D$24:D127),"")</f>
        <v/>
      </c>
      <c r="R128" s="56" t="str">
        <f t="shared" si="34"/>
        <v/>
      </c>
      <c r="S128" s="56">
        <f t="shared" si="28"/>
        <v>0</v>
      </c>
      <c r="T128" s="21" t="e">
        <f t="shared" ca="1" si="29"/>
        <v>#VALUE!</v>
      </c>
      <c r="U128" s="21" t="e">
        <f t="shared" ca="1" si="30"/>
        <v>#VALUE!</v>
      </c>
      <c r="V128" s="21" t="e">
        <f t="shared" ca="1" si="31"/>
        <v>#VALUE!</v>
      </c>
      <c r="W128" s="60" t="e">
        <f t="shared" ca="1" si="32"/>
        <v>#VALUE!</v>
      </c>
      <c r="X128" s="61" t="e">
        <f t="shared" ca="1" si="33"/>
        <v>#VALUE!</v>
      </c>
    </row>
    <row r="129" spans="2:24" x14ac:dyDescent="0.25">
      <c r="B129" s="58" t="str">
        <f t="shared" si="27"/>
        <v/>
      </c>
      <c r="C129" s="55" t="str">
        <f t="shared" si="39"/>
        <v/>
      </c>
      <c r="D129" s="55" t="str">
        <f t="shared" ca="1" si="24"/>
        <v xml:space="preserve"> </v>
      </c>
      <c r="E129" s="58" t="str">
        <f t="shared" si="25"/>
        <v/>
      </c>
      <c r="F129" s="56" t="str">
        <f t="shared" si="38"/>
        <v/>
      </c>
      <c r="G129" s="56" t="str">
        <f>IF(AND(B128="",B130=""),"",IF(B129="",ROUND(SUM($G$25:G128),2),IF(B129=$E$8,$F$24-ROUND(SUM($G$25:G128),2),ROUND($F$24/$E$8,2))))</f>
        <v/>
      </c>
      <c r="H129" s="56" t="str">
        <f>IF(B128=$E$8,ROUND(SUM($H$25:H128),2),IF(B129&gt;$E$8,"",IF(U129&lt;&gt;U128,ROUND(SUM(W129*$E$9*F128/U129,X129*$E$9*F128/U128),2),ROUND(F128*$E$9*E129/U128,2))))</f>
        <v/>
      </c>
      <c r="I129" s="56" t="str">
        <f>IF(B128=$E$8,SUM($I$25:I128),IF(B128&gt;$E$8,"",G129+H129))</f>
        <v/>
      </c>
      <c r="J129" s="56" t="str">
        <f t="shared" si="40"/>
        <v/>
      </c>
      <c r="K129" s="56" t="str">
        <f t="shared" si="43"/>
        <v/>
      </c>
      <c r="L129" s="56"/>
      <c r="M129" s="56" t="str">
        <f t="shared" si="41"/>
        <v/>
      </c>
      <c r="N129" s="56" t="str">
        <f t="shared" si="36"/>
        <v/>
      </c>
      <c r="O129" s="56" t="str">
        <f t="shared" si="35"/>
        <v/>
      </c>
      <c r="Q129" s="59" t="str">
        <f>IF(B128=$E$8,XIRR(I$24:I128,D$24:D128),"")</f>
        <v/>
      </c>
      <c r="R129" s="56" t="str">
        <f t="shared" si="34"/>
        <v/>
      </c>
      <c r="S129" s="56">
        <f t="shared" si="28"/>
        <v>0</v>
      </c>
      <c r="T129" s="21" t="e">
        <f t="shared" ca="1" si="29"/>
        <v>#VALUE!</v>
      </c>
      <c r="U129" s="21" t="e">
        <f t="shared" ca="1" si="30"/>
        <v>#VALUE!</v>
      </c>
      <c r="V129" s="21" t="e">
        <f t="shared" ca="1" si="31"/>
        <v>#VALUE!</v>
      </c>
      <c r="W129" s="60" t="e">
        <f t="shared" ca="1" si="32"/>
        <v>#VALUE!</v>
      </c>
      <c r="X129" s="61" t="e">
        <f t="shared" ca="1" si="33"/>
        <v>#VALUE!</v>
      </c>
    </row>
    <row r="130" spans="2:24" x14ac:dyDescent="0.25">
      <c r="B130" s="58" t="str">
        <f t="shared" si="27"/>
        <v/>
      </c>
      <c r="C130" s="55" t="str">
        <f t="shared" si="39"/>
        <v/>
      </c>
      <c r="D130" s="55" t="str">
        <f t="shared" ca="1" si="24"/>
        <v xml:space="preserve"> </v>
      </c>
      <c r="E130" s="58" t="str">
        <f t="shared" si="25"/>
        <v/>
      </c>
      <c r="F130" s="56" t="str">
        <f t="shared" si="38"/>
        <v/>
      </c>
      <c r="G130" s="56" t="str">
        <f>IF(AND(B129="",B131=""),"",IF(B130="",ROUND(SUM($G$25:G129),2),IF(B130=$E$8,$F$24-ROUND(SUM($G$25:G129),2),ROUND($F$24/$E$8,2))))</f>
        <v/>
      </c>
      <c r="H130" s="56" t="str">
        <f>IF(B129=$E$8,ROUND(SUM($H$25:H129),2),IF(B130&gt;$E$8,"",IF(U130&lt;&gt;U129,ROUND(SUM(W130*$E$9*F129/U130,X130*$E$9*F129/U129),2),ROUND(F129*$E$9*E130/U129,2))))</f>
        <v/>
      </c>
      <c r="I130" s="56" t="str">
        <f>IF(B129=$E$8,SUM($I$25:I129),IF(B129&gt;$E$8,"",G130+H130))</f>
        <v/>
      </c>
      <c r="J130" s="56" t="str">
        <f t="shared" si="40"/>
        <v/>
      </c>
      <c r="K130" s="56" t="str">
        <f t="shared" si="43"/>
        <v/>
      </c>
      <c r="L130" s="56"/>
      <c r="M130" s="56" t="str">
        <f t="shared" si="41"/>
        <v/>
      </c>
      <c r="N130" s="56" t="str">
        <f t="shared" si="36"/>
        <v/>
      </c>
      <c r="O130" s="56" t="str">
        <f t="shared" si="35"/>
        <v/>
      </c>
      <c r="Q130" s="59" t="str">
        <f>IF(B129=$E$8,XIRR(I$24:I129,D$24:D129),"")</f>
        <v/>
      </c>
      <c r="R130" s="56" t="str">
        <f t="shared" si="34"/>
        <v/>
      </c>
      <c r="S130" s="56">
        <f t="shared" si="28"/>
        <v>0</v>
      </c>
      <c r="T130" s="21" t="e">
        <f t="shared" ca="1" si="29"/>
        <v>#VALUE!</v>
      </c>
      <c r="U130" s="21" t="e">
        <f t="shared" ca="1" si="30"/>
        <v>#VALUE!</v>
      </c>
      <c r="V130" s="21" t="e">
        <f t="shared" ca="1" si="31"/>
        <v>#VALUE!</v>
      </c>
      <c r="W130" s="60" t="e">
        <f t="shared" ca="1" si="32"/>
        <v>#VALUE!</v>
      </c>
      <c r="X130" s="61" t="e">
        <f t="shared" ca="1" si="33"/>
        <v>#VALUE!</v>
      </c>
    </row>
    <row r="131" spans="2:24" x14ac:dyDescent="0.25">
      <c r="B131" s="58" t="str">
        <f t="shared" si="27"/>
        <v/>
      </c>
      <c r="C131" s="55" t="str">
        <f t="shared" si="39"/>
        <v/>
      </c>
      <c r="D131" s="55" t="str">
        <f t="shared" ca="1" si="24"/>
        <v xml:space="preserve"> </v>
      </c>
      <c r="E131" s="58" t="str">
        <f t="shared" si="25"/>
        <v/>
      </c>
      <c r="F131" s="56" t="str">
        <f t="shared" si="38"/>
        <v/>
      </c>
      <c r="G131" s="56" t="str">
        <f>IF(AND(B130="",B132=""),"",IF(B131="",ROUND(SUM($G$25:G130),2),IF(B131=$E$8,$F$24-ROUND(SUM($G$25:G130),2),ROUND($F$24/$E$8,2))))</f>
        <v/>
      </c>
      <c r="H131" s="56" t="str">
        <f>IF(B130=$E$8,ROUND(SUM($H$25:H130),2),IF(B131&gt;$E$8,"",IF(U131&lt;&gt;U130,ROUND(SUM(W131*$E$9*F130/U131,X131*$E$9*F130/U130),2),ROUND(F130*$E$9*E131/U130,2))))</f>
        <v/>
      </c>
      <c r="I131" s="56" t="str">
        <f>IF(B130=$E$8,SUM($I$25:I130),IF(B130&gt;$E$8,"",G131+H131))</f>
        <v/>
      </c>
      <c r="J131" s="56" t="str">
        <f t="shared" si="40"/>
        <v/>
      </c>
      <c r="K131" s="56" t="str">
        <f t="shared" si="43"/>
        <v/>
      </c>
      <c r="L131" s="56"/>
      <c r="M131" s="56" t="str">
        <f t="shared" si="41"/>
        <v/>
      </c>
      <c r="N131" s="56" t="str">
        <f t="shared" si="36"/>
        <v/>
      </c>
      <c r="O131" s="56" t="str">
        <f t="shared" si="35"/>
        <v/>
      </c>
      <c r="Q131" s="59" t="str">
        <f>IF(B130=$E$8,XIRR(I$24:I130,D$24:D130),"")</f>
        <v/>
      </c>
      <c r="R131" s="56" t="str">
        <f t="shared" si="34"/>
        <v/>
      </c>
      <c r="S131" s="56">
        <f t="shared" si="28"/>
        <v>0</v>
      </c>
      <c r="T131" s="21" t="e">
        <f t="shared" ca="1" si="29"/>
        <v>#VALUE!</v>
      </c>
      <c r="U131" s="21" t="e">
        <f t="shared" ca="1" si="30"/>
        <v>#VALUE!</v>
      </c>
      <c r="V131" s="21" t="e">
        <f t="shared" ca="1" si="31"/>
        <v>#VALUE!</v>
      </c>
      <c r="W131" s="60" t="e">
        <f t="shared" ca="1" si="32"/>
        <v>#VALUE!</v>
      </c>
      <c r="X131" s="61" t="e">
        <f t="shared" ca="1" si="33"/>
        <v>#VALUE!</v>
      </c>
    </row>
    <row r="132" spans="2:24" x14ac:dyDescent="0.25">
      <c r="B132" s="58" t="str">
        <f t="shared" si="27"/>
        <v/>
      </c>
      <c r="C132" s="55" t="str">
        <f t="shared" si="39"/>
        <v/>
      </c>
      <c r="D132" s="55" t="str">
        <f t="shared" ca="1" si="24"/>
        <v xml:space="preserve"> </v>
      </c>
      <c r="E132" s="58" t="str">
        <f t="shared" si="25"/>
        <v/>
      </c>
      <c r="F132" s="56" t="str">
        <f t="shared" si="38"/>
        <v/>
      </c>
      <c r="G132" s="56" t="str">
        <f>IF(AND(B131="",B133=""),"",IF(B132="",ROUND(SUM($G$25:G131),2),IF(B132=$E$8,$F$24-ROUND(SUM($G$25:G131),2),ROUND($F$24/$E$8,2))))</f>
        <v/>
      </c>
      <c r="H132" s="56" t="str">
        <f>IF(B131=$E$8,ROUND(SUM($H$25:H131),2),IF(B132&gt;$E$8,"",IF(U132&lt;&gt;U131,ROUND(SUM(W132*$E$9*F131/U132,X132*$E$9*F131/U131),2),ROUND(F131*$E$9*E132/U131,2))))</f>
        <v/>
      </c>
      <c r="I132" s="56" t="str">
        <f>IF(B131=$E$8,SUM($I$25:I131),IF(B131&gt;$E$8,"",G132+H132))</f>
        <v/>
      </c>
      <c r="J132" s="56" t="str">
        <f t="shared" si="40"/>
        <v/>
      </c>
      <c r="K132" s="56" t="str">
        <f t="shared" si="43"/>
        <v/>
      </c>
      <c r="L132" s="56"/>
      <c r="M132" s="56" t="str">
        <f t="shared" si="41"/>
        <v/>
      </c>
      <c r="N132" s="56" t="str">
        <f t="shared" si="36"/>
        <v/>
      </c>
      <c r="O132" s="56" t="str">
        <f t="shared" si="35"/>
        <v/>
      </c>
      <c r="Q132" s="59" t="str">
        <f>IF(B131=$E$8,XIRR(I$24:I131,D$24:D131),"")</f>
        <v/>
      </c>
      <c r="R132" s="56" t="str">
        <f t="shared" si="34"/>
        <v/>
      </c>
      <c r="S132" s="56">
        <f t="shared" si="28"/>
        <v>0</v>
      </c>
      <c r="T132" s="21" t="e">
        <f t="shared" ca="1" si="29"/>
        <v>#VALUE!</v>
      </c>
      <c r="U132" s="21" t="e">
        <f t="shared" ca="1" si="30"/>
        <v>#VALUE!</v>
      </c>
      <c r="V132" s="21" t="e">
        <f t="shared" ca="1" si="31"/>
        <v>#VALUE!</v>
      </c>
      <c r="W132" s="60" t="e">
        <f t="shared" ca="1" si="32"/>
        <v>#VALUE!</v>
      </c>
      <c r="X132" s="61" t="e">
        <f t="shared" ca="1" si="33"/>
        <v>#VALUE!</v>
      </c>
    </row>
    <row r="133" spans="2:24" x14ac:dyDescent="0.25">
      <c r="B133" s="58" t="str">
        <f t="shared" si="27"/>
        <v/>
      </c>
      <c r="C133" s="55" t="str">
        <f t="shared" si="39"/>
        <v/>
      </c>
      <c r="D133" s="55" t="str">
        <f t="shared" ca="1" si="24"/>
        <v xml:space="preserve"> </v>
      </c>
      <c r="E133" s="58" t="str">
        <f t="shared" si="25"/>
        <v/>
      </c>
      <c r="F133" s="56" t="str">
        <f t="shared" si="38"/>
        <v/>
      </c>
      <c r="G133" s="56" t="str">
        <f>IF(AND(B132="",B134=""),"",IF(B133="",ROUND(SUM($G$25:G132),2),IF(B133=$E$8,$F$24-ROUND(SUM($G$25:G132),2),ROUND($F$24/$E$8,2))))</f>
        <v/>
      </c>
      <c r="H133" s="56" t="str">
        <f>IF(B132=$E$8,ROUND(SUM($H$25:H132),2),IF(B133&gt;$E$8,"",IF(U133&lt;&gt;U132,ROUND(SUM(W133*$E$9*F132/U133,X133*$E$9*F132/U132),2),ROUND(F132*$E$9*E133/U132,2))))</f>
        <v/>
      </c>
      <c r="I133" s="56" t="str">
        <f>IF(B132=$E$8,SUM($I$25:I132),IF(B132&gt;$E$8,"",G133+H133))</f>
        <v/>
      </c>
      <c r="J133" s="56" t="str">
        <f t="shared" si="40"/>
        <v/>
      </c>
      <c r="K133" s="56" t="str">
        <f>IF($E$8&gt;B132,$O$9,IF($E$8=B132,SUM($K$24:K132)," "))</f>
        <v xml:space="preserve"> </v>
      </c>
      <c r="L133" s="56" t="str">
        <f>IF($E$8&gt;B132,($P$8+$O$10*F132),IF(B132=$E$8,$L$37+$L$24+$L$49+$L$61+$L$73+$L$85+$L$97+$L$109+$L$121,""))</f>
        <v/>
      </c>
      <c r="M133" s="56" t="str">
        <f t="shared" si="41"/>
        <v/>
      </c>
      <c r="N133" s="56" t="str">
        <f t="shared" si="36"/>
        <v/>
      </c>
      <c r="O133" s="56" t="str">
        <f t="shared" si="35"/>
        <v/>
      </c>
      <c r="Q133" s="59" t="str">
        <f>IF(B132=$E$8,XIRR(I$24:I132,D$24:D132),"")</f>
        <v/>
      </c>
      <c r="R133" s="56" t="str">
        <f t="shared" si="34"/>
        <v/>
      </c>
      <c r="S133" s="56">
        <f t="shared" si="28"/>
        <v>0</v>
      </c>
      <c r="T133" s="21" t="e">
        <f t="shared" ca="1" si="29"/>
        <v>#VALUE!</v>
      </c>
      <c r="U133" s="21" t="e">
        <f t="shared" ca="1" si="30"/>
        <v>#VALUE!</v>
      </c>
      <c r="V133" s="21" t="e">
        <f t="shared" ca="1" si="31"/>
        <v>#VALUE!</v>
      </c>
      <c r="W133" s="60" t="e">
        <f t="shared" ca="1" si="32"/>
        <v>#VALUE!</v>
      </c>
      <c r="X133" s="61" t="e">
        <f t="shared" ca="1" si="33"/>
        <v>#VALUE!</v>
      </c>
    </row>
    <row r="134" spans="2:24" x14ac:dyDescent="0.25">
      <c r="B134" s="58" t="str">
        <f t="shared" si="27"/>
        <v/>
      </c>
      <c r="C134" s="55" t="str">
        <f t="shared" si="39"/>
        <v/>
      </c>
      <c r="D134" s="55" t="str">
        <f t="shared" ca="1" si="24"/>
        <v xml:space="preserve"> </v>
      </c>
      <c r="E134" s="58" t="str">
        <f t="shared" si="25"/>
        <v/>
      </c>
      <c r="F134" s="56" t="str">
        <f t="shared" si="38"/>
        <v/>
      </c>
      <c r="G134" s="56" t="str">
        <f>IF(AND(B133="",B135=""),"",IF(B134="",ROUND(SUM($G$25:G133),2),IF(B134=$E$8,$F$24-ROUND(SUM($G$25:G133),2),ROUND($F$24/$E$8,2))))</f>
        <v/>
      </c>
      <c r="H134" s="56" t="str">
        <f>IF(B133=$E$8,ROUND(SUM($H$25:H133),2),IF(B134&gt;$E$8,"",IF(U134&lt;&gt;U133,ROUND(SUM(W134*$E$9*F133/U134,X134*$E$9*F133/U133),2),ROUND(F133*$E$9*E134/U133,2))))</f>
        <v/>
      </c>
      <c r="I134" s="56" t="str">
        <f>IF(B133=$E$8,SUM($I$25:I133),IF(B133&gt;$E$8,"",G134+H134))</f>
        <v/>
      </c>
      <c r="J134" s="56" t="str">
        <f t="shared" si="40"/>
        <v/>
      </c>
      <c r="K134" s="56" t="str">
        <f t="shared" ref="K134:K144" si="44">IF(B133=$E$8,$K$24,"")</f>
        <v/>
      </c>
      <c r="L134" s="56"/>
      <c r="M134" s="56" t="str">
        <f t="shared" si="41"/>
        <v/>
      </c>
      <c r="N134" s="56" t="str">
        <f t="shared" si="36"/>
        <v/>
      </c>
      <c r="O134" s="56" t="str">
        <f t="shared" si="35"/>
        <v/>
      </c>
      <c r="Q134" s="59" t="str">
        <f>IF(B133=$E$8,XIRR(I$24:I133,D$24:D133),"")</f>
        <v/>
      </c>
      <c r="R134" s="56" t="str">
        <f t="shared" si="34"/>
        <v/>
      </c>
      <c r="S134" s="56">
        <f t="shared" si="28"/>
        <v>0</v>
      </c>
      <c r="T134" s="21" t="e">
        <f t="shared" ca="1" si="29"/>
        <v>#VALUE!</v>
      </c>
      <c r="U134" s="21" t="e">
        <f t="shared" ca="1" si="30"/>
        <v>#VALUE!</v>
      </c>
      <c r="V134" s="21" t="e">
        <f t="shared" ca="1" si="31"/>
        <v>#VALUE!</v>
      </c>
      <c r="W134" s="60" t="e">
        <f t="shared" ca="1" si="32"/>
        <v>#VALUE!</v>
      </c>
      <c r="X134" s="61" t="e">
        <f t="shared" ca="1" si="33"/>
        <v>#VALUE!</v>
      </c>
    </row>
    <row r="135" spans="2:24" x14ac:dyDescent="0.25">
      <c r="B135" s="58" t="str">
        <f t="shared" si="27"/>
        <v/>
      </c>
      <c r="C135" s="55" t="str">
        <f t="shared" si="39"/>
        <v/>
      </c>
      <c r="D135" s="55" t="str">
        <f t="shared" ca="1" si="24"/>
        <v xml:space="preserve"> </v>
      </c>
      <c r="E135" s="58" t="str">
        <f t="shared" si="25"/>
        <v/>
      </c>
      <c r="F135" s="56" t="str">
        <f t="shared" si="38"/>
        <v/>
      </c>
      <c r="G135" s="56" t="str">
        <f>IF(AND(B134="",B136=""),"",IF(B135="",ROUND(SUM($G$25:G134),2),IF(B135=$E$8,$F$24-ROUND(SUM($G$25:G134),2),ROUND($F$24/$E$8,2))))</f>
        <v/>
      </c>
      <c r="H135" s="56" t="str">
        <f>IF(B134=$E$8,ROUND(SUM($H$25:H134),2),IF(B135&gt;$E$8,"",IF(U135&lt;&gt;U134,ROUND(SUM(W135*$E$9*F134/U135,X135*$E$9*F134/U134),2),ROUND(F134*$E$9*E135/U134,2))))</f>
        <v/>
      </c>
      <c r="I135" s="56" t="str">
        <f>IF(B134=$E$8,SUM($I$25:I134),IF(B134&gt;$E$8,"",G135+H135))</f>
        <v/>
      </c>
      <c r="J135" s="56" t="str">
        <f t="shared" si="40"/>
        <v/>
      </c>
      <c r="K135" s="56" t="str">
        <f t="shared" si="44"/>
        <v/>
      </c>
      <c r="L135" s="56"/>
      <c r="M135" s="56" t="str">
        <f t="shared" si="41"/>
        <v/>
      </c>
      <c r="N135" s="56" t="str">
        <f t="shared" si="36"/>
        <v/>
      </c>
      <c r="O135" s="56" t="str">
        <f t="shared" si="35"/>
        <v/>
      </c>
      <c r="Q135" s="59" t="str">
        <f>IF(B134=$E$8,XIRR(I$24:I134,D$24:D134),"")</f>
        <v/>
      </c>
      <c r="R135" s="56" t="str">
        <f t="shared" si="34"/>
        <v/>
      </c>
      <c r="S135" s="56">
        <f t="shared" si="28"/>
        <v>0</v>
      </c>
      <c r="T135" s="21" t="e">
        <f t="shared" ca="1" si="29"/>
        <v>#VALUE!</v>
      </c>
      <c r="U135" s="21" t="e">
        <f t="shared" ca="1" si="30"/>
        <v>#VALUE!</v>
      </c>
      <c r="V135" s="21" t="e">
        <f t="shared" ca="1" si="31"/>
        <v>#VALUE!</v>
      </c>
      <c r="W135" s="60" t="e">
        <f t="shared" ca="1" si="32"/>
        <v>#VALUE!</v>
      </c>
      <c r="X135" s="61" t="e">
        <f t="shared" ca="1" si="33"/>
        <v>#VALUE!</v>
      </c>
    </row>
    <row r="136" spans="2:24" x14ac:dyDescent="0.25">
      <c r="B136" s="58" t="str">
        <f t="shared" si="27"/>
        <v/>
      </c>
      <c r="C136" s="55" t="str">
        <f t="shared" si="39"/>
        <v/>
      </c>
      <c r="D136" s="55" t="str">
        <f t="shared" ca="1" si="24"/>
        <v xml:space="preserve"> </v>
      </c>
      <c r="E136" s="58" t="str">
        <f t="shared" si="25"/>
        <v/>
      </c>
      <c r="F136" s="56" t="str">
        <f t="shared" si="38"/>
        <v/>
      </c>
      <c r="G136" s="56" t="str">
        <f>IF(AND(B135="",B137=""),"",IF(B136="",ROUND(SUM($G$25:G135),2),IF(B136=$E$8,$F$24-ROUND(SUM($G$25:G135),2),ROUND($F$24/$E$8,2))))</f>
        <v/>
      </c>
      <c r="H136" s="56" t="str">
        <f>IF(B135=$E$8,ROUND(SUM($H$25:H135),2),IF(B136&gt;$E$8,"",IF(U136&lt;&gt;U135,ROUND(SUM(W136*$E$9*F135/U136,X136*$E$9*F135/U135),2),ROUND(F135*$E$9*E136/U135,2))))</f>
        <v/>
      </c>
      <c r="I136" s="56" t="str">
        <f>IF(B135=$E$8,SUM($I$25:I135),IF(B135&gt;$E$8,"",G136+H136))</f>
        <v/>
      </c>
      <c r="J136" s="56" t="str">
        <f t="shared" si="40"/>
        <v/>
      </c>
      <c r="K136" s="56" t="str">
        <f t="shared" si="44"/>
        <v/>
      </c>
      <c r="L136" s="56"/>
      <c r="M136" s="56" t="str">
        <f t="shared" si="41"/>
        <v/>
      </c>
      <c r="N136" s="56" t="str">
        <f t="shared" si="36"/>
        <v/>
      </c>
      <c r="O136" s="56" t="str">
        <f t="shared" si="35"/>
        <v/>
      </c>
      <c r="Q136" s="59" t="str">
        <f>IF(B135=$E$8,XIRR(I$24:I135,D$24:D135),"")</f>
        <v/>
      </c>
      <c r="R136" s="56" t="str">
        <f t="shared" si="34"/>
        <v/>
      </c>
      <c r="S136" s="56">
        <f t="shared" si="28"/>
        <v>0</v>
      </c>
      <c r="T136" s="21" t="e">
        <f t="shared" ca="1" si="29"/>
        <v>#VALUE!</v>
      </c>
      <c r="U136" s="21" t="e">
        <f t="shared" ca="1" si="30"/>
        <v>#VALUE!</v>
      </c>
      <c r="V136" s="21" t="e">
        <f t="shared" ca="1" si="31"/>
        <v>#VALUE!</v>
      </c>
      <c r="W136" s="60" t="e">
        <f t="shared" ca="1" si="32"/>
        <v>#VALUE!</v>
      </c>
      <c r="X136" s="61" t="e">
        <f t="shared" ca="1" si="33"/>
        <v>#VALUE!</v>
      </c>
    </row>
    <row r="137" spans="2:24" x14ac:dyDescent="0.25">
      <c r="B137" s="58" t="str">
        <f t="shared" si="27"/>
        <v/>
      </c>
      <c r="C137" s="55" t="str">
        <f t="shared" si="39"/>
        <v/>
      </c>
      <c r="D137" s="55" t="str">
        <f t="shared" ca="1" si="24"/>
        <v xml:space="preserve"> </v>
      </c>
      <c r="E137" s="58" t="str">
        <f t="shared" si="25"/>
        <v/>
      </c>
      <c r="F137" s="56" t="str">
        <f t="shared" si="38"/>
        <v/>
      </c>
      <c r="G137" s="56" t="str">
        <f>IF(AND(B136="",B138=""),"",IF(B137="",ROUND(SUM($G$25:G136),2),IF(B137=$E$8,$F$24-ROUND(SUM($G$25:G136),2),ROUND($F$24/$E$8,2))))</f>
        <v/>
      </c>
      <c r="H137" s="56" t="str">
        <f>IF(B136=$E$8,ROUND(SUM($H$25:H136),2),IF(B137&gt;$E$8,"",IF(U137&lt;&gt;U136,ROUND(SUM(W137*$E$9*F136/U137,X137*$E$9*F136/U136),2),ROUND(F136*$E$9*E137/U136,2))))</f>
        <v/>
      </c>
      <c r="I137" s="56" t="str">
        <f>IF(B136=$E$8,SUM($I$25:I136),IF(B136&gt;$E$8,"",G137+H137))</f>
        <v/>
      </c>
      <c r="J137" s="56" t="str">
        <f t="shared" si="40"/>
        <v/>
      </c>
      <c r="K137" s="56" t="str">
        <f t="shared" si="44"/>
        <v/>
      </c>
      <c r="L137" s="56"/>
      <c r="M137" s="56" t="str">
        <f t="shared" si="41"/>
        <v/>
      </c>
      <c r="N137" s="56" t="str">
        <f t="shared" si="36"/>
        <v/>
      </c>
      <c r="O137" s="56" t="str">
        <f t="shared" si="35"/>
        <v/>
      </c>
      <c r="Q137" s="59" t="str">
        <f>IF(B136=$E$8,XIRR(I$24:I136,D$24:D136),"")</f>
        <v/>
      </c>
      <c r="R137" s="56" t="str">
        <f t="shared" si="34"/>
        <v/>
      </c>
      <c r="S137" s="56">
        <f t="shared" si="28"/>
        <v>0</v>
      </c>
      <c r="T137" s="21" t="e">
        <f t="shared" ca="1" si="29"/>
        <v>#VALUE!</v>
      </c>
      <c r="U137" s="21" t="e">
        <f t="shared" ca="1" si="30"/>
        <v>#VALUE!</v>
      </c>
      <c r="V137" s="21" t="e">
        <f t="shared" ca="1" si="31"/>
        <v>#VALUE!</v>
      </c>
      <c r="W137" s="60" t="e">
        <f t="shared" ca="1" si="32"/>
        <v>#VALUE!</v>
      </c>
      <c r="X137" s="61" t="e">
        <f t="shared" ca="1" si="33"/>
        <v>#VALUE!</v>
      </c>
    </row>
    <row r="138" spans="2:24" x14ac:dyDescent="0.25">
      <c r="B138" s="58" t="str">
        <f t="shared" si="27"/>
        <v/>
      </c>
      <c r="C138" s="55" t="str">
        <f t="shared" si="39"/>
        <v/>
      </c>
      <c r="D138" s="55" t="str">
        <f t="shared" ca="1" si="24"/>
        <v xml:space="preserve"> </v>
      </c>
      <c r="E138" s="58" t="str">
        <f t="shared" si="25"/>
        <v/>
      </c>
      <c r="F138" s="56" t="str">
        <f t="shared" si="38"/>
        <v/>
      </c>
      <c r="G138" s="56" t="str">
        <f>IF(AND(B137="",B139=""),"",IF(B138="",ROUND(SUM($G$25:G137),2),IF(B138=$E$8,$F$24-ROUND(SUM($G$25:G137),2),ROUND($F$24/$E$8,2))))</f>
        <v/>
      </c>
      <c r="H138" s="56" t="str">
        <f>IF(B137=$E$8,ROUND(SUM($H$25:H137),2),IF(B138&gt;$E$8,"",IF(U138&lt;&gt;U137,ROUND(SUM(W138*$E$9*F137/U138,X138*$E$9*F137/U137),2),ROUND(F137*$E$9*E138/U137,2))))</f>
        <v/>
      </c>
      <c r="I138" s="56" t="str">
        <f>IF(B137=$E$8,SUM($I$25:I137),IF(B137&gt;$E$8,"",G138+H138))</f>
        <v/>
      </c>
      <c r="J138" s="56" t="str">
        <f t="shared" si="40"/>
        <v/>
      </c>
      <c r="K138" s="56" t="str">
        <f t="shared" si="44"/>
        <v/>
      </c>
      <c r="L138" s="56"/>
      <c r="M138" s="56" t="str">
        <f t="shared" si="41"/>
        <v/>
      </c>
      <c r="N138" s="56" t="str">
        <f t="shared" si="36"/>
        <v/>
      </c>
      <c r="O138" s="56" t="str">
        <f t="shared" si="35"/>
        <v/>
      </c>
      <c r="Q138" s="59" t="str">
        <f>IF(B137=$E$8,XIRR(I$24:I137,D$24:D137),"")</f>
        <v/>
      </c>
      <c r="R138" s="56" t="str">
        <f t="shared" si="34"/>
        <v/>
      </c>
      <c r="S138" s="56">
        <f t="shared" si="28"/>
        <v>0</v>
      </c>
      <c r="T138" s="21" t="e">
        <f t="shared" ca="1" si="29"/>
        <v>#VALUE!</v>
      </c>
      <c r="U138" s="21" t="e">
        <f t="shared" ca="1" si="30"/>
        <v>#VALUE!</v>
      </c>
      <c r="V138" s="21" t="e">
        <f t="shared" ca="1" si="31"/>
        <v>#VALUE!</v>
      </c>
      <c r="W138" s="60" t="e">
        <f t="shared" ca="1" si="32"/>
        <v>#VALUE!</v>
      </c>
      <c r="X138" s="61" t="e">
        <f t="shared" ca="1" si="33"/>
        <v>#VALUE!</v>
      </c>
    </row>
    <row r="139" spans="2:24" x14ac:dyDescent="0.25">
      <c r="B139" s="58" t="str">
        <f t="shared" si="27"/>
        <v/>
      </c>
      <c r="C139" s="55" t="str">
        <f t="shared" si="39"/>
        <v/>
      </c>
      <c r="D139" s="55" t="str">
        <f t="shared" ca="1" si="24"/>
        <v xml:space="preserve"> </v>
      </c>
      <c r="E139" s="58" t="str">
        <f t="shared" si="25"/>
        <v/>
      </c>
      <c r="F139" s="56" t="str">
        <f t="shared" si="38"/>
        <v/>
      </c>
      <c r="G139" s="56" t="str">
        <f>IF(AND(B138="",B140=""),"",IF(B139="",ROUND(SUM($G$25:G138),2),IF(B139=$E$8,$F$24-ROUND(SUM($G$25:G138),2),ROUND($F$24/$E$8,2))))</f>
        <v/>
      </c>
      <c r="H139" s="56" t="str">
        <f>IF(B138=$E$8,ROUND(SUM($H$25:H138),2),IF(B139&gt;$E$8,"",IF(U139&lt;&gt;U138,ROUND(SUM(W139*$E$9*F138/U139,X139*$E$9*F138/U138),2),ROUND(F138*$E$9*E139/U138,2))))</f>
        <v/>
      </c>
      <c r="I139" s="56" t="str">
        <f>IF(B138=$E$8,SUM($I$25:I138),IF(B138&gt;$E$8,"",G139+H139))</f>
        <v/>
      </c>
      <c r="J139" s="56" t="str">
        <f t="shared" si="40"/>
        <v/>
      </c>
      <c r="K139" s="56" t="str">
        <f t="shared" si="44"/>
        <v/>
      </c>
      <c r="L139" s="56"/>
      <c r="M139" s="56" t="str">
        <f t="shared" si="41"/>
        <v/>
      </c>
      <c r="N139" s="56" t="str">
        <f t="shared" si="36"/>
        <v/>
      </c>
      <c r="O139" s="56" t="str">
        <f t="shared" si="35"/>
        <v/>
      </c>
      <c r="Q139" s="59" t="str">
        <f>IF(B138=$E$8,XIRR(I$24:I138,D$24:D138),"")</f>
        <v/>
      </c>
      <c r="R139" s="56" t="str">
        <f t="shared" si="34"/>
        <v/>
      </c>
      <c r="S139" s="56">
        <f t="shared" si="28"/>
        <v>0</v>
      </c>
      <c r="T139" s="21" t="e">
        <f t="shared" ca="1" si="29"/>
        <v>#VALUE!</v>
      </c>
      <c r="U139" s="21" t="e">
        <f t="shared" ca="1" si="30"/>
        <v>#VALUE!</v>
      </c>
      <c r="V139" s="21" t="e">
        <f t="shared" ca="1" si="31"/>
        <v>#VALUE!</v>
      </c>
      <c r="W139" s="60" t="e">
        <f t="shared" ca="1" si="32"/>
        <v>#VALUE!</v>
      </c>
      <c r="X139" s="61" t="e">
        <f t="shared" ca="1" si="33"/>
        <v>#VALUE!</v>
      </c>
    </row>
    <row r="140" spans="2:24" x14ac:dyDescent="0.25">
      <c r="B140" s="58" t="str">
        <f t="shared" si="27"/>
        <v/>
      </c>
      <c r="C140" s="55" t="str">
        <f t="shared" si="39"/>
        <v/>
      </c>
      <c r="D140" s="55" t="str">
        <f t="shared" ca="1" si="24"/>
        <v xml:space="preserve"> </v>
      </c>
      <c r="E140" s="58" t="str">
        <f t="shared" si="25"/>
        <v/>
      </c>
      <c r="F140" s="56" t="str">
        <f t="shared" si="38"/>
        <v/>
      </c>
      <c r="G140" s="56" t="str">
        <f>IF(AND(B139="",B141=""),"",IF(B140="",ROUND(SUM($G$25:G139),2),IF(B140=$E$8,$F$24-ROUND(SUM($G$25:G139),2),ROUND($F$24/$E$8,2))))</f>
        <v/>
      </c>
      <c r="H140" s="56" t="str">
        <f>IF(B139=$E$8,ROUND(SUM($H$25:H139),2),IF(B140&gt;$E$8,"",IF(U140&lt;&gt;U139,ROUND(SUM(W140*$E$9*F139/U140,X140*$E$9*F139/U139),2),ROUND(F139*$E$9*E140/U139,2))))</f>
        <v/>
      </c>
      <c r="I140" s="56" t="str">
        <f>IF(B139=$E$8,SUM($I$25:I139),IF(B139&gt;$E$8,"",G140+H140))</f>
        <v/>
      </c>
      <c r="J140" s="56" t="str">
        <f t="shared" si="40"/>
        <v/>
      </c>
      <c r="K140" s="56" t="str">
        <f t="shared" si="44"/>
        <v/>
      </c>
      <c r="L140" s="56"/>
      <c r="M140" s="56" t="str">
        <f t="shared" si="41"/>
        <v/>
      </c>
      <c r="N140" s="56" t="str">
        <f t="shared" si="36"/>
        <v/>
      </c>
      <c r="O140" s="56" t="str">
        <f t="shared" si="35"/>
        <v/>
      </c>
      <c r="Q140" s="59" t="str">
        <f>IF(B139=$E$8,XIRR(I$24:I139,D$24:D139),"")</f>
        <v/>
      </c>
      <c r="R140" s="56" t="str">
        <f t="shared" si="34"/>
        <v/>
      </c>
      <c r="S140" s="56">
        <f t="shared" si="28"/>
        <v>0</v>
      </c>
      <c r="T140" s="21" t="e">
        <f t="shared" ca="1" si="29"/>
        <v>#VALUE!</v>
      </c>
      <c r="U140" s="21" t="e">
        <f t="shared" ca="1" si="30"/>
        <v>#VALUE!</v>
      </c>
      <c r="V140" s="21" t="e">
        <f t="shared" ca="1" si="31"/>
        <v>#VALUE!</v>
      </c>
      <c r="W140" s="60" t="e">
        <f t="shared" ca="1" si="32"/>
        <v>#VALUE!</v>
      </c>
      <c r="X140" s="61" t="e">
        <f t="shared" ca="1" si="33"/>
        <v>#VALUE!</v>
      </c>
    </row>
    <row r="141" spans="2:24" x14ac:dyDescent="0.25">
      <c r="B141" s="58" t="str">
        <f t="shared" si="27"/>
        <v/>
      </c>
      <c r="C141" s="55" t="str">
        <f t="shared" si="39"/>
        <v/>
      </c>
      <c r="D141" s="55" t="str">
        <f t="shared" ca="1" si="24"/>
        <v xml:space="preserve"> </v>
      </c>
      <c r="E141" s="58" t="str">
        <f t="shared" si="25"/>
        <v/>
      </c>
      <c r="F141" s="56" t="str">
        <f t="shared" si="38"/>
        <v/>
      </c>
      <c r="G141" s="56" t="str">
        <f>IF(AND(B140="",B142=""),"",IF(B141="",ROUND(SUM($G$25:G140),2),IF(B141=$E$8,$F$24-ROUND(SUM($G$25:G140),2),ROUND($F$24/$E$8,2))))</f>
        <v/>
      </c>
      <c r="H141" s="56" t="str">
        <f>IF(B140=$E$8,ROUND(SUM($H$25:H140),2),IF(B141&gt;$E$8,"",IF(U141&lt;&gt;U140,ROUND(SUM(W141*$E$9*F140/U141,X141*$E$9*F140/U140),2),ROUND(F140*$E$9*E141/U140,2))))</f>
        <v/>
      </c>
      <c r="I141" s="56" t="str">
        <f>IF(B140=$E$8,SUM($I$25:I140),IF(B140&gt;$E$8,"",G141+H141))</f>
        <v/>
      </c>
      <c r="J141" s="56" t="str">
        <f t="shared" si="40"/>
        <v/>
      </c>
      <c r="K141" s="56" t="str">
        <f t="shared" si="44"/>
        <v/>
      </c>
      <c r="L141" s="56"/>
      <c r="M141" s="56" t="str">
        <f t="shared" si="41"/>
        <v/>
      </c>
      <c r="N141" s="56" t="str">
        <f t="shared" si="36"/>
        <v/>
      </c>
      <c r="O141" s="56" t="str">
        <f t="shared" si="35"/>
        <v/>
      </c>
      <c r="Q141" s="59" t="str">
        <f>IF(B140=$E$8,XIRR(I$24:I140,D$24:D140),"")</f>
        <v/>
      </c>
      <c r="R141" s="56" t="str">
        <f t="shared" si="34"/>
        <v/>
      </c>
      <c r="S141" s="56">
        <f t="shared" si="28"/>
        <v>0</v>
      </c>
      <c r="T141" s="21" t="e">
        <f t="shared" ca="1" si="29"/>
        <v>#VALUE!</v>
      </c>
      <c r="U141" s="21" t="e">
        <f t="shared" ca="1" si="30"/>
        <v>#VALUE!</v>
      </c>
      <c r="V141" s="21" t="e">
        <f t="shared" ca="1" si="31"/>
        <v>#VALUE!</v>
      </c>
      <c r="W141" s="60" t="e">
        <f t="shared" ca="1" si="32"/>
        <v>#VALUE!</v>
      </c>
      <c r="X141" s="61" t="e">
        <f t="shared" ca="1" si="33"/>
        <v>#VALUE!</v>
      </c>
    </row>
    <row r="142" spans="2:24" x14ac:dyDescent="0.25">
      <c r="B142" s="58" t="str">
        <f t="shared" si="27"/>
        <v/>
      </c>
      <c r="C142" s="55" t="str">
        <f t="shared" si="39"/>
        <v/>
      </c>
      <c r="D142" s="55" t="str">
        <f t="shared" ca="1" si="24"/>
        <v xml:space="preserve"> </v>
      </c>
      <c r="E142" s="58" t="str">
        <f t="shared" si="25"/>
        <v/>
      </c>
      <c r="F142" s="56" t="str">
        <f t="shared" si="38"/>
        <v/>
      </c>
      <c r="G142" s="56" t="str">
        <f>IF(AND(B141="",B143=""),"",IF(B142="",ROUND(SUM($G$25:G141),2),IF(B142=$E$8,$F$24-ROUND(SUM($G$25:G141),2),ROUND($F$24/$E$8,2))))</f>
        <v/>
      </c>
      <c r="H142" s="56" t="str">
        <f>IF(B141=$E$8,ROUND(SUM($H$25:H141),2),IF(B142&gt;$E$8,"",IF(U142&lt;&gt;U141,ROUND(SUM(W142*$E$9*F141/U142,X142*$E$9*F141/U141),2),ROUND(F141*$E$9*E142/U141,2))))</f>
        <v/>
      </c>
      <c r="I142" s="56" t="str">
        <f>IF(B141=$E$8,SUM($I$25:I141),IF(B141&gt;$E$8,"",G142+H142))</f>
        <v/>
      </c>
      <c r="J142" s="56" t="str">
        <f t="shared" si="40"/>
        <v/>
      </c>
      <c r="K142" s="56" t="str">
        <f t="shared" si="44"/>
        <v/>
      </c>
      <c r="L142" s="56"/>
      <c r="M142" s="56" t="str">
        <f t="shared" si="41"/>
        <v/>
      </c>
      <c r="N142" s="56" t="str">
        <f t="shared" si="36"/>
        <v/>
      </c>
      <c r="O142" s="56" t="str">
        <f t="shared" si="35"/>
        <v/>
      </c>
      <c r="Q142" s="59" t="str">
        <f>IF(B141=$E$8,XIRR(I$24:I141,D$24:D141),"")</f>
        <v/>
      </c>
      <c r="R142" s="56" t="str">
        <f t="shared" si="34"/>
        <v/>
      </c>
      <c r="S142" s="56">
        <f t="shared" si="28"/>
        <v>0</v>
      </c>
      <c r="T142" s="21" t="e">
        <f t="shared" ca="1" si="29"/>
        <v>#VALUE!</v>
      </c>
      <c r="U142" s="21" t="e">
        <f t="shared" ca="1" si="30"/>
        <v>#VALUE!</v>
      </c>
      <c r="V142" s="21" t="e">
        <f t="shared" ca="1" si="31"/>
        <v>#VALUE!</v>
      </c>
      <c r="W142" s="60" t="e">
        <f t="shared" ca="1" si="32"/>
        <v>#VALUE!</v>
      </c>
      <c r="X142" s="61" t="e">
        <f t="shared" ca="1" si="33"/>
        <v>#VALUE!</v>
      </c>
    </row>
    <row r="143" spans="2:24" x14ac:dyDescent="0.25">
      <c r="B143" s="58" t="str">
        <f t="shared" si="27"/>
        <v/>
      </c>
      <c r="C143" s="55" t="str">
        <f t="shared" si="39"/>
        <v/>
      </c>
      <c r="D143" s="55" t="str">
        <f t="shared" ca="1" si="24"/>
        <v xml:space="preserve"> </v>
      </c>
      <c r="E143" s="58" t="str">
        <f t="shared" si="25"/>
        <v/>
      </c>
      <c r="F143" s="56" t="str">
        <f t="shared" si="38"/>
        <v/>
      </c>
      <c r="G143" s="56" t="str">
        <f>IF(AND(B142="",B144=""),"",IF(B143="",ROUND(SUM($G$25:G142),2),IF(B143=$E$8,$F$24-ROUND(SUM($G$25:G142),2),ROUND($F$24/$E$8,2))))</f>
        <v/>
      </c>
      <c r="H143" s="56" t="str">
        <f>IF(B142=$E$8,ROUND(SUM($H$25:H142),2),IF(B143&gt;$E$8,"",IF(U143&lt;&gt;U142,ROUND(SUM(W143*$E$9*F142/U143,X143*$E$9*F142/U142),2),ROUND(F142*$E$9*E143/U142,2))))</f>
        <v/>
      </c>
      <c r="I143" s="56" t="str">
        <f>IF(B142=$E$8,SUM($I$25:I142),IF(B142&gt;$E$8,"",G143+H143))</f>
        <v/>
      </c>
      <c r="J143" s="56" t="str">
        <f t="shared" si="40"/>
        <v/>
      </c>
      <c r="K143" s="56" t="str">
        <f t="shared" si="44"/>
        <v/>
      </c>
      <c r="L143" s="56"/>
      <c r="M143" s="56" t="str">
        <f t="shared" si="41"/>
        <v/>
      </c>
      <c r="N143" s="56" t="str">
        <f t="shared" si="36"/>
        <v/>
      </c>
      <c r="O143" s="56" t="str">
        <f t="shared" si="35"/>
        <v/>
      </c>
      <c r="Q143" s="59" t="str">
        <f>IF(B142=$E$8,XIRR(I$24:I142,D$24:D142),"")</f>
        <v/>
      </c>
      <c r="R143" s="56" t="str">
        <f t="shared" si="34"/>
        <v/>
      </c>
      <c r="S143" s="56">
        <f t="shared" si="28"/>
        <v>0</v>
      </c>
      <c r="T143" s="21" t="e">
        <f t="shared" ca="1" si="29"/>
        <v>#VALUE!</v>
      </c>
      <c r="U143" s="21" t="e">
        <f t="shared" ca="1" si="30"/>
        <v>#VALUE!</v>
      </c>
      <c r="V143" s="21" t="e">
        <f t="shared" ca="1" si="31"/>
        <v>#VALUE!</v>
      </c>
      <c r="W143" s="60" t="e">
        <f t="shared" ca="1" si="32"/>
        <v>#VALUE!</v>
      </c>
      <c r="X143" s="61" t="e">
        <f t="shared" ca="1" si="33"/>
        <v>#VALUE!</v>
      </c>
    </row>
    <row r="144" spans="2:24" x14ac:dyDescent="0.25">
      <c r="B144" s="58" t="str">
        <f t="shared" si="27"/>
        <v/>
      </c>
      <c r="C144" s="55" t="str">
        <f t="shared" si="39"/>
        <v/>
      </c>
      <c r="D144" s="55" t="str">
        <f t="shared" ca="1" si="24"/>
        <v xml:space="preserve"> </v>
      </c>
      <c r="E144" s="58" t="str">
        <f t="shared" si="25"/>
        <v/>
      </c>
      <c r="F144" s="56" t="str">
        <f t="shared" si="38"/>
        <v/>
      </c>
      <c r="G144" s="56" t="str">
        <f>IF(AND(B143="",B145=""),"",IF(B144="",ROUND(SUM($G$25:G143),2),IF(B144=$E$8,$F$24-ROUND(SUM($G$25:G143),2),ROUND($F$24/$E$8,2))))</f>
        <v/>
      </c>
      <c r="H144" s="56" t="str">
        <f>IF(B143=$E$8,ROUND(SUM($H$25:H143),2),IF(B144&gt;$E$8,"",IF(U144&lt;&gt;U143,ROUND(SUM(W144*$E$9*F143/U144,X144*$E$9*F143/U143),2),ROUND(F143*$E$9*E144/U143,2))))</f>
        <v/>
      </c>
      <c r="I144" s="56" t="str">
        <f>IF(B143=$E$8,SUM($I$25:I143),IF(B143&gt;$E$8,"",G144+H144))</f>
        <v/>
      </c>
      <c r="J144" s="56" t="str">
        <f t="shared" si="40"/>
        <v/>
      </c>
      <c r="K144" s="56" t="str">
        <f t="shared" si="44"/>
        <v/>
      </c>
      <c r="L144" s="56"/>
      <c r="M144" s="56" t="str">
        <f t="shared" si="41"/>
        <v/>
      </c>
      <c r="N144" s="56" t="str">
        <f t="shared" si="36"/>
        <v/>
      </c>
      <c r="O144" s="56" t="str">
        <f t="shared" si="35"/>
        <v/>
      </c>
      <c r="Q144" s="59" t="str">
        <f>IF(B143=$E$8,XIRR(I$24:I143,D$24:D143),"")</f>
        <v/>
      </c>
      <c r="R144" s="56" t="str">
        <f t="shared" si="34"/>
        <v/>
      </c>
      <c r="S144" s="56">
        <f t="shared" si="28"/>
        <v>0</v>
      </c>
      <c r="T144" s="21" t="e">
        <f t="shared" ca="1" si="29"/>
        <v>#VALUE!</v>
      </c>
      <c r="U144" s="21" t="e">
        <f t="shared" ca="1" si="30"/>
        <v>#VALUE!</v>
      </c>
      <c r="V144" s="21" t="e">
        <f t="shared" ca="1" si="31"/>
        <v>#VALUE!</v>
      </c>
      <c r="W144" s="60" t="e">
        <f t="shared" ca="1" si="32"/>
        <v>#VALUE!</v>
      </c>
      <c r="X144" s="61" t="e">
        <f t="shared" ca="1" si="33"/>
        <v>#VALUE!</v>
      </c>
    </row>
    <row r="145" spans="2:24" x14ac:dyDescent="0.25">
      <c r="B145" s="58" t="str">
        <f t="shared" si="27"/>
        <v/>
      </c>
      <c r="C145" s="55" t="str">
        <f t="shared" si="39"/>
        <v/>
      </c>
      <c r="D145" s="55" t="str">
        <f t="shared" ca="1" si="24"/>
        <v xml:space="preserve"> </v>
      </c>
      <c r="E145" s="58" t="str">
        <f t="shared" si="25"/>
        <v/>
      </c>
      <c r="F145" s="56" t="str">
        <f t="shared" si="38"/>
        <v/>
      </c>
      <c r="G145" s="56" t="str">
        <f>IF(AND(B144="",B146=""),"",IF(B145="",ROUND(SUM($G$25:G144),2),IF(B145=$E$8,$F$24-ROUND(SUM($G$25:G144),2),ROUND($F$24/$E$8,2))))</f>
        <v/>
      </c>
      <c r="H145" s="56" t="str">
        <f>IF(B144=$E$8,ROUND(SUM($H$25:H144),2),IF(B145&gt;$E$8,"",IF(U145&lt;&gt;U144,ROUND(SUM(W145*$E$9*F144/U145,X145*$E$9*F144/U144),2),ROUND(F144*$E$9*E145/U144,2))))</f>
        <v/>
      </c>
      <c r="I145" s="56" t="str">
        <f>IF(B144=$E$8,SUM($I$25:I144),IF(B144&gt;$E$8,"",G145+H145))</f>
        <v/>
      </c>
      <c r="J145" s="56" t="str">
        <f t="shared" si="40"/>
        <v/>
      </c>
      <c r="K145" s="56" t="str">
        <f>IF($E$8&gt;B144,$O$9,IF($E$8=B144,SUM($K$24:K144)," "))</f>
        <v xml:space="preserve"> </v>
      </c>
      <c r="L145" s="56" t="str">
        <f>IF($E$8&gt;B144,($P$8+$O$10*F144),IF(B144=$E$8,$L$37+$L$24+$L$49+$L$61+$L$73+$L$85+$L$97+$L$109+$L$121+$L$133,""))</f>
        <v/>
      </c>
      <c r="M145" s="56" t="str">
        <f t="shared" si="41"/>
        <v/>
      </c>
      <c r="N145" s="56" t="str">
        <f t="shared" si="36"/>
        <v/>
      </c>
      <c r="O145" s="56" t="str">
        <f t="shared" si="35"/>
        <v/>
      </c>
      <c r="Q145" s="59" t="str">
        <f>IF(B144=$E$8,XIRR(I$24:I144,D$24:D144),"")</f>
        <v/>
      </c>
      <c r="R145" s="56" t="str">
        <f t="shared" si="34"/>
        <v/>
      </c>
      <c r="S145" s="56">
        <f t="shared" si="28"/>
        <v>0</v>
      </c>
      <c r="T145" s="21" t="e">
        <f t="shared" ca="1" si="29"/>
        <v>#VALUE!</v>
      </c>
      <c r="U145" s="21" t="e">
        <f t="shared" ca="1" si="30"/>
        <v>#VALUE!</v>
      </c>
      <c r="V145" s="21" t="e">
        <f t="shared" ca="1" si="31"/>
        <v>#VALUE!</v>
      </c>
      <c r="W145" s="60" t="e">
        <f t="shared" ca="1" si="32"/>
        <v>#VALUE!</v>
      </c>
      <c r="X145" s="61" t="e">
        <f t="shared" ca="1" si="33"/>
        <v>#VALUE!</v>
      </c>
    </row>
    <row r="146" spans="2:24" x14ac:dyDescent="0.25">
      <c r="B146" s="58" t="str">
        <f t="shared" si="27"/>
        <v/>
      </c>
      <c r="C146" s="55" t="str">
        <f t="shared" si="39"/>
        <v/>
      </c>
      <c r="D146" s="55" t="str">
        <f t="shared" ca="1" si="24"/>
        <v xml:space="preserve"> </v>
      </c>
      <c r="E146" s="58" t="str">
        <f t="shared" si="25"/>
        <v/>
      </c>
      <c r="F146" s="56" t="str">
        <f t="shared" si="38"/>
        <v/>
      </c>
      <c r="G146" s="56" t="str">
        <f>IF(AND(B145="",B147=""),"",IF(B146="",ROUND(SUM($G$25:G145),2),IF(B146=$E$8,$F$24-ROUND(SUM($G$25:G145),2),ROUND($F$24/$E$8,2))))</f>
        <v/>
      </c>
      <c r="H146" s="56" t="str">
        <f>IF(B145=$E$8,ROUND(SUM($H$25:H145),2),IF(B146&gt;$E$8,"",IF(U146&lt;&gt;U145,ROUND(SUM(W146*$E$9*F145/U146,X146*$E$9*F145/U145),2),ROUND(F145*$E$9*E146/U145,2))))</f>
        <v/>
      </c>
      <c r="I146" s="56" t="str">
        <f>IF(B145=$E$8,SUM($I$25:I145),IF(B145&gt;$E$8,"",G146+H146))</f>
        <v/>
      </c>
      <c r="J146" s="56" t="str">
        <f t="shared" si="40"/>
        <v/>
      </c>
      <c r="K146" s="56" t="str">
        <f t="shared" ref="K146:K156" si="45">IF(B145=$E$8,$K$24,"")</f>
        <v/>
      </c>
      <c r="L146" s="56"/>
      <c r="M146" s="56" t="str">
        <f t="shared" si="41"/>
        <v/>
      </c>
      <c r="N146" s="56" t="str">
        <f t="shared" si="36"/>
        <v/>
      </c>
      <c r="O146" s="56" t="str">
        <f t="shared" si="35"/>
        <v/>
      </c>
      <c r="Q146" s="59" t="str">
        <f>IF(B145=$E$8,XIRR(I$24:I145,D$24:D145),"")</f>
        <v/>
      </c>
      <c r="R146" s="56" t="str">
        <f t="shared" si="34"/>
        <v/>
      </c>
      <c r="S146" s="56">
        <f t="shared" si="28"/>
        <v>0</v>
      </c>
      <c r="T146" s="21" t="e">
        <f t="shared" ca="1" si="29"/>
        <v>#VALUE!</v>
      </c>
      <c r="U146" s="21" t="e">
        <f t="shared" ca="1" si="30"/>
        <v>#VALUE!</v>
      </c>
      <c r="V146" s="21" t="e">
        <f t="shared" ca="1" si="31"/>
        <v>#VALUE!</v>
      </c>
      <c r="W146" s="60" t="e">
        <f t="shared" ca="1" si="32"/>
        <v>#VALUE!</v>
      </c>
      <c r="X146" s="61" t="e">
        <f t="shared" ca="1" si="33"/>
        <v>#VALUE!</v>
      </c>
    </row>
    <row r="147" spans="2:24" x14ac:dyDescent="0.25">
      <c r="B147" s="58" t="str">
        <f t="shared" si="27"/>
        <v/>
      </c>
      <c r="C147" s="55" t="str">
        <f t="shared" si="39"/>
        <v/>
      </c>
      <c r="D147" s="55" t="str">
        <f t="shared" ca="1" si="24"/>
        <v xml:space="preserve"> </v>
      </c>
      <c r="E147" s="58" t="str">
        <f t="shared" si="25"/>
        <v/>
      </c>
      <c r="F147" s="56" t="str">
        <f t="shared" si="38"/>
        <v/>
      </c>
      <c r="G147" s="56" t="str">
        <f>IF(AND(B146="",B148=""),"",IF(B147="",ROUND(SUM($G$25:G146),2),IF(B147=$E$8,$F$24-ROUND(SUM($G$25:G146),2),ROUND($F$24/$E$8,2))))</f>
        <v/>
      </c>
      <c r="H147" s="56" t="str">
        <f>IF(B146=$E$8,ROUND(SUM($H$25:H146),2),IF(B147&gt;$E$8,"",IF(U147&lt;&gt;U146,ROUND(SUM(W147*$E$9*F146/U147,X147*$E$9*F146/U146),2),ROUND(F146*$E$9*E147/U146,2))))</f>
        <v/>
      </c>
      <c r="I147" s="56" t="str">
        <f>IF(B146=$E$8,SUM($I$25:I146),IF(B146&gt;$E$8,"",G147+H147))</f>
        <v/>
      </c>
      <c r="J147" s="56" t="str">
        <f t="shared" si="40"/>
        <v/>
      </c>
      <c r="K147" s="56" t="str">
        <f t="shared" si="45"/>
        <v/>
      </c>
      <c r="L147" s="56"/>
      <c r="M147" s="56" t="str">
        <f t="shared" si="41"/>
        <v/>
      </c>
      <c r="N147" s="56" t="str">
        <f t="shared" si="36"/>
        <v/>
      </c>
      <c r="O147" s="56" t="str">
        <f t="shared" si="35"/>
        <v/>
      </c>
      <c r="Q147" s="59" t="str">
        <f>IF(B146=$E$8,XIRR(I$24:I146,D$24:D146),"")</f>
        <v/>
      </c>
      <c r="R147" s="56" t="str">
        <f t="shared" si="34"/>
        <v/>
      </c>
      <c r="S147" s="56">
        <f t="shared" si="28"/>
        <v>0</v>
      </c>
      <c r="T147" s="21" t="e">
        <f t="shared" ca="1" si="29"/>
        <v>#VALUE!</v>
      </c>
      <c r="U147" s="21" t="e">
        <f t="shared" ca="1" si="30"/>
        <v>#VALUE!</v>
      </c>
      <c r="V147" s="21" t="e">
        <f t="shared" ca="1" si="31"/>
        <v>#VALUE!</v>
      </c>
      <c r="W147" s="60" t="e">
        <f t="shared" ca="1" si="32"/>
        <v>#VALUE!</v>
      </c>
      <c r="X147" s="61" t="e">
        <f t="shared" ca="1" si="33"/>
        <v>#VALUE!</v>
      </c>
    </row>
    <row r="148" spans="2:24" x14ac:dyDescent="0.25">
      <c r="B148" s="58" t="str">
        <f t="shared" si="27"/>
        <v/>
      </c>
      <c r="C148" s="55" t="str">
        <f t="shared" si="39"/>
        <v/>
      </c>
      <c r="D148" s="55" t="str">
        <f t="shared" ca="1" si="24"/>
        <v xml:space="preserve"> </v>
      </c>
      <c r="E148" s="58" t="str">
        <f t="shared" si="25"/>
        <v/>
      </c>
      <c r="F148" s="56" t="str">
        <f t="shared" si="38"/>
        <v/>
      </c>
      <c r="G148" s="56" t="str">
        <f>IF(AND(B147="",B149=""),"",IF(B148="",ROUND(SUM($G$25:G147),2),IF(B148=$E$8,$F$24-ROUND(SUM($G$25:G147),2),ROUND($F$24/$E$8,2))))</f>
        <v/>
      </c>
      <c r="H148" s="56" t="str">
        <f>IF(B147=$E$8,ROUND(SUM($H$25:H147),2),IF(B148&gt;$E$8,"",IF(U148&lt;&gt;U147,ROUND(SUM(W148*$E$9*F147/U148,X148*$E$9*F147/U147),2),ROUND(F147*$E$9*E148/U147,2))))</f>
        <v/>
      </c>
      <c r="I148" s="56" t="str">
        <f>IF(B147=$E$8,SUM($I$25:I147),IF(B147&gt;$E$8,"",G148+H148))</f>
        <v/>
      </c>
      <c r="J148" s="56" t="str">
        <f t="shared" si="40"/>
        <v/>
      </c>
      <c r="K148" s="56" t="str">
        <f t="shared" si="45"/>
        <v/>
      </c>
      <c r="L148" s="56"/>
      <c r="M148" s="56" t="str">
        <f t="shared" si="41"/>
        <v/>
      </c>
      <c r="N148" s="56" t="str">
        <f t="shared" si="36"/>
        <v/>
      </c>
      <c r="O148" s="56" t="str">
        <f t="shared" si="35"/>
        <v/>
      </c>
      <c r="Q148" s="59" t="str">
        <f>IF(B147=$E$8,XIRR(I$24:I147,D$24:D147),"")</f>
        <v/>
      </c>
      <c r="R148" s="56" t="str">
        <f t="shared" si="34"/>
        <v/>
      </c>
      <c r="S148" s="56">
        <f t="shared" si="28"/>
        <v>0</v>
      </c>
      <c r="T148" s="21" t="e">
        <f t="shared" ca="1" si="29"/>
        <v>#VALUE!</v>
      </c>
      <c r="U148" s="21" t="e">
        <f t="shared" ca="1" si="30"/>
        <v>#VALUE!</v>
      </c>
      <c r="V148" s="21" t="e">
        <f t="shared" ca="1" si="31"/>
        <v>#VALUE!</v>
      </c>
      <c r="W148" s="60" t="e">
        <f t="shared" ca="1" si="32"/>
        <v>#VALUE!</v>
      </c>
      <c r="X148" s="61" t="e">
        <f t="shared" ca="1" si="33"/>
        <v>#VALUE!</v>
      </c>
    </row>
    <row r="149" spans="2:24" x14ac:dyDescent="0.25">
      <c r="B149" s="58" t="str">
        <f t="shared" si="27"/>
        <v/>
      </c>
      <c r="C149" s="55" t="str">
        <f t="shared" si="39"/>
        <v/>
      </c>
      <c r="D149" s="55" t="str">
        <f t="shared" ref="D149:D212" ca="1" si="46">IF(C149=$E$10,C149-1,(IF(C149&gt;$E$10," ",C149)))</f>
        <v xml:space="preserve"> </v>
      </c>
      <c r="E149" s="58" t="str">
        <f t="shared" ref="E149:E212" si="47">IF(B149&gt;$E$8,"",D149-D148)</f>
        <v/>
      </c>
      <c r="F149" s="56" t="str">
        <f t="shared" si="38"/>
        <v/>
      </c>
      <c r="G149" s="56" t="str">
        <f>IF(AND(B148="",B150=""),"",IF(B149="",ROUND(SUM($G$25:G148),2),IF(B149=$E$8,$F$24-ROUND(SUM($G$25:G148),2),ROUND($F$24/$E$8,2))))</f>
        <v/>
      </c>
      <c r="H149" s="56" t="str">
        <f>IF(B148=$E$8,ROUND(SUM($H$25:H148),2),IF(B149&gt;$E$8,"",IF(U149&lt;&gt;U148,ROUND(SUM(W149*$E$9*F148/U149,X149*$E$9*F148/U148),2),ROUND(F148*$E$9*E149/U148,2))))</f>
        <v/>
      </c>
      <c r="I149" s="56" t="str">
        <f>IF(B148=$E$8,SUM($I$25:I148),IF(B148&gt;$E$8,"",G149+H149))</f>
        <v/>
      </c>
      <c r="J149" s="56" t="str">
        <f t="shared" si="40"/>
        <v/>
      </c>
      <c r="K149" s="56" t="str">
        <f t="shared" si="45"/>
        <v/>
      </c>
      <c r="L149" s="56"/>
      <c r="M149" s="56" t="str">
        <f t="shared" si="41"/>
        <v/>
      </c>
      <c r="N149" s="56" t="str">
        <f t="shared" si="36"/>
        <v/>
      </c>
      <c r="O149" s="56" t="str">
        <f t="shared" si="35"/>
        <v/>
      </c>
      <c r="Q149" s="59" t="str">
        <f>IF(B148=$E$8,XIRR(I$24:I148,D$24:D148),"")</f>
        <v/>
      </c>
      <c r="R149" s="56" t="str">
        <f t="shared" si="34"/>
        <v/>
      </c>
      <c r="S149" s="56">
        <f t="shared" si="28"/>
        <v>0</v>
      </c>
      <c r="T149" s="21" t="e">
        <f t="shared" ca="1" si="29"/>
        <v>#VALUE!</v>
      </c>
      <c r="U149" s="21" t="e">
        <f t="shared" ca="1" si="30"/>
        <v>#VALUE!</v>
      </c>
      <c r="V149" s="21" t="e">
        <f t="shared" ca="1" si="31"/>
        <v>#VALUE!</v>
      </c>
      <c r="W149" s="60" t="e">
        <f t="shared" ca="1" si="32"/>
        <v>#VALUE!</v>
      </c>
      <c r="X149" s="61" t="e">
        <f t="shared" ca="1" si="33"/>
        <v>#VALUE!</v>
      </c>
    </row>
    <row r="150" spans="2:24" x14ac:dyDescent="0.25">
      <c r="B150" s="58" t="str">
        <f t="shared" si="27"/>
        <v/>
      </c>
      <c r="C150" s="55" t="str">
        <f t="shared" si="39"/>
        <v/>
      </c>
      <c r="D150" s="55" t="str">
        <f t="shared" ca="1" si="46"/>
        <v xml:space="preserve"> </v>
      </c>
      <c r="E150" s="58" t="str">
        <f t="shared" si="47"/>
        <v/>
      </c>
      <c r="F150" s="56" t="str">
        <f t="shared" si="38"/>
        <v/>
      </c>
      <c r="G150" s="56" t="str">
        <f>IF(AND(B149="",B151=""),"",IF(B150="",ROUND(SUM($G$25:G149),2),IF(B150=$E$8,$F$24-ROUND(SUM($G$25:G149),2),ROUND($F$24/$E$8,2))))</f>
        <v/>
      </c>
      <c r="H150" s="56" t="str">
        <f>IF(B149=$E$8,ROUND(SUM($H$25:H149),2),IF(B150&gt;$E$8,"",IF(U150&lt;&gt;U149,ROUND(SUM(W150*$E$9*F149/U150,X150*$E$9*F149/U149),2),ROUND(F149*$E$9*E150/U149,2))))</f>
        <v/>
      </c>
      <c r="I150" s="56" t="str">
        <f>IF(B149=$E$8,SUM($I$25:I149),IF(B149&gt;$E$8,"",G150+H150))</f>
        <v/>
      </c>
      <c r="J150" s="56" t="str">
        <f t="shared" si="40"/>
        <v/>
      </c>
      <c r="K150" s="56" t="str">
        <f t="shared" si="45"/>
        <v/>
      </c>
      <c r="L150" s="56"/>
      <c r="M150" s="56" t="str">
        <f t="shared" si="41"/>
        <v/>
      </c>
      <c r="N150" s="56" t="str">
        <f t="shared" si="36"/>
        <v/>
      </c>
      <c r="O150" s="56" t="str">
        <f t="shared" si="35"/>
        <v/>
      </c>
      <c r="Q150" s="59" t="str">
        <f>IF(B149=$E$8,XIRR(I$24:I149,D$24:D149),"")</f>
        <v/>
      </c>
      <c r="R150" s="56" t="str">
        <f t="shared" si="34"/>
        <v/>
      </c>
      <c r="S150" s="56">
        <f t="shared" si="28"/>
        <v>0</v>
      </c>
      <c r="T150" s="21" t="e">
        <f t="shared" ca="1" si="29"/>
        <v>#VALUE!</v>
      </c>
      <c r="U150" s="21" t="e">
        <f t="shared" ca="1" si="30"/>
        <v>#VALUE!</v>
      </c>
      <c r="V150" s="21" t="e">
        <f t="shared" ca="1" si="31"/>
        <v>#VALUE!</v>
      </c>
      <c r="W150" s="60" t="e">
        <f t="shared" ca="1" si="32"/>
        <v>#VALUE!</v>
      </c>
      <c r="X150" s="61" t="e">
        <f t="shared" ca="1" si="33"/>
        <v>#VALUE!</v>
      </c>
    </row>
    <row r="151" spans="2:24" x14ac:dyDescent="0.25">
      <c r="B151" s="58" t="str">
        <f t="shared" si="27"/>
        <v/>
      </c>
      <c r="C151" s="55" t="str">
        <f t="shared" si="39"/>
        <v/>
      </c>
      <c r="D151" s="55" t="str">
        <f t="shared" ca="1" si="46"/>
        <v xml:space="preserve"> </v>
      </c>
      <c r="E151" s="58" t="str">
        <f t="shared" si="47"/>
        <v/>
      </c>
      <c r="F151" s="56" t="str">
        <f t="shared" si="38"/>
        <v/>
      </c>
      <c r="G151" s="56" t="str">
        <f>IF(AND(B150="",B152=""),"",IF(B151="",ROUND(SUM($G$25:G150),2),IF(B151=$E$8,$F$24-ROUND(SUM($G$25:G150),2),ROUND($F$24/$E$8,2))))</f>
        <v/>
      </c>
      <c r="H151" s="56" t="str">
        <f>IF(B150=$E$8,ROUND(SUM($H$25:H150),2),IF(B151&gt;$E$8,"",IF(U151&lt;&gt;U150,ROUND(SUM(W151*$E$9*F150/U151,X151*$E$9*F150/U150),2),ROUND(F150*$E$9*E151/U150,2))))</f>
        <v/>
      </c>
      <c r="I151" s="56" t="str">
        <f>IF(B150=$E$8,SUM($I$25:I150),IF(B150&gt;$E$8,"",G151+H151))</f>
        <v/>
      </c>
      <c r="J151" s="56" t="str">
        <f t="shared" si="40"/>
        <v/>
      </c>
      <c r="K151" s="56" t="str">
        <f t="shared" si="45"/>
        <v/>
      </c>
      <c r="L151" s="56"/>
      <c r="M151" s="56" t="str">
        <f t="shared" si="41"/>
        <v/>
      </c>
      <c r="N151" s="56" t="str">
        <f t="shared" si="36"/>
        <v/>
      </c>
      <c r="O151" s="56" t="str">
        <f t="shared" si="35"/>
        <v/>
      </c>
      <c r="Q151" s="59" t="str">
        <f>IF(B150=$E$8,XIRR(I$24:I150,D$24:D150),"")</f>
        <v/>
      </c>
      <c r="R151" s="56" t="str">
        <f t="shared" si="34"/>
        <v/>
      </c>
      <c r="S151" s="56">
        <f t="shared" si="28"/>
        <v>0</v>
      </c>
      <c r="T151" s="21" t="e">
        <f t="shared" ca="1" si="29"/>
        <v>#VALUE!</v>
      </c>
      <c r="U151" s="21" t="e">
        <f t="shared" ca="1" si="30"/>
        <v>#VALUE!</v>
      </c>
      <c r="V151" s="21" t="e">
        <f t="shared" ca="1" si="31"/>
        <v>#VALUE!</v>
      </c>
      <c r="W151" s="60" t="e">
        <f t="shared" ca="1" si="32"/>
        <v>#VALUE!</v>
      </c>
      <c r="X151" s="61" t="e">
        <f t="shared" ca="1" si="33"/>
        <v>#VALUE!</v>
      </c>
    </row>
    <row r="152" spans="2:24" x14ac:dyDescent="0.25">
      <c r="B152" s="58" t="str">
        <f t="shared" si="27"/>
        <v/>
      </c>
      <c r="C152" s="55" t="str">
        <f t="shared" si="39"/>
        <v/>
      </c>
      <c r="D152" s="55" t="str">
        <f t="shared" ca="1" si="46"/>
        <v xml:space="preserve"> </v>
      </c>
      <c r="E152" s="58" t="str">
        <f t="shared" si="47"/>
        <v/>
      </c>
      <c r="F152" s="56" t="str">
        <f t="shared" si="38"/>
        <v/>
      </c>
      <c r="G152" s="56" t="str">
        <f>IF(AND(B151="",B153=""),"",IF(B152="",ROUND(SUM($G$25:G151),2),IF(B152=$E$8,$F$24-ROUND(SUM($G$25:G151),2),ROUND($F$24/$E$8,2))))</f>
        <v/>
      </c>
      <c r="H152" s="56" t="str">
        <f>IF(B151=$E$8,ROUND(SUM($H$25:H151),2),IF(B152&gt;$E$8,"",IF(U152&lt;&gt;U151,ROUND(SUM(W152*$E$9*F151/U152,X152*$E$9*F151/U151),2),ROUND(F151*$E$9*E152/U151,2))))</f>
        <v/>
      </c>
      <c r="I152" s="56" t="str">
        <f>IF(B151=$E$8,SUM($I$25:I151),IF(B151&gt;$E$8,"",G152+H152))</f>
        <v/>
      </c>
      <c r="J152" s="56" t="str">
        <f t="shared" si="40"/>
        <v/>
      </c>
      <c r="K152" s="56" t="str">
        <f t="shared" si="45"/>
        <v/>
      </c>
      <c r="L152" s="56"/>
      <c r="M152" s="56" t="str">
        <f t="shared" si="41"/>
        <v/>
      </c>
      <c r="N152" s="56" t="str">
        <f t="shared" si="36"/>
        <v/>
      </c>
      <c r="O152" s="56" t="str">
        <f t="shared" si="35"/>
        <v/>
      </c>
      <c r="Q152" s="59" t="str">
        <f>IF(B151=$E$8,XIRR(I$24:I151,D$24:D151),"")</f>
        <v/>
      </c>
      <c r="R152" s="56" t="str">
        <f t="shared" si="34"/>
        <v/>
      </c>
      <c r="S152" s="56">
        <f t="shared" si="28"/>
        <v>0</v>
      </c>
      <c r="T152" s="21" t="e">
        <f t="shared" ca="1" si="29"/>
        <v>#VALUE!</v>
      </c>
      <c r="U152" s="21" t="e">
        <f t="shared" ca="1" si="30"/>
        <v>#VALUE!</v>
      </c>
      <c r="V152" s="21" t="e">
        <f t="shared" ca="1" si="31"/>
        <v>#VALUE!</v>
      </c>
      <c r="W152" s="60" t="e">
        <f t="shared" ca="1" si="32"/>
        <v>#VALUE!</v>
      </c>
      <c r="X152" s="61" t="e">
        <f t="shared" ca="1" si="33"/>
        <v>#VALUE!</v>
      </c>
    </row>
    <row r="153" spans="2:24" x14ac:dyDescent="0.25">
      <c r="B153" s="58" t="str">
        <f t="shared" si="27"/>
        <v/>
      </c>
      <c r="C153" s="55" t="str">
        <f t="shared" si="39"/>
        <v/>
      </c>
      <c r="D153" s="55" t="str">
        <f t="shared" ca="1" si="46"/>
        <v xml:space="preserve"> </v>
      </c>
      <c r="E153" s="58" t="str">
        <f t="shared" si="47"/>
        <v/>
      </c>
      <c r="F153" s="56" t="str">
        <f t="shared" si="38"/>
        <v/>
      </c>
      <c r="G153" s="56" t="str">
        <f>IF(AND(B152="",B154=""),"",IF(B153="",ROUND(SUM($G$25:G152),2),IF(B153=$E$8,$F$24-ROUND(SUM($G$25:G152),2),ROUND($F$24/$E$8,2))))</f>
        <v/>
      </c>
      <c r="H153" s="56" t="str">
        <f>IF(B152=$E$8,ROUND(SUM($H$25:H152),2),IF(B153&gt;$E$8,"",IF(U153&lt;&gt;U152,ROUND(SUM(W153*$E$9*F152/U153,X153*$E$9*F152/U152),2),ROUND(F152*$E$9*E153/U152,2))))</f>
        <v/>
      </c>
      <c r="I153" s="56" t="str">
        <f>IF(B152=$E$8,SUM($I$25:I152),IF(B152&gt;$E$8,"",G153+H153))</f>
        <v/>
      </c>
      <c r="J153" s="56" t="str">
        <f t="shared" si="40"/>
        <v/>
      </c>
      <c r="K153" s="56" t="str">
        <f t="shared" si="45"/>
        <v/>
      </c>
      <c r="L153" s="56"/>
      <c r="M153" s="56" t="str">
        <f t="shared" si="41"/>
        <v/>
      </c>
      <c r="N153" s="56" t="str">
        <f t="shared" si="36"/>
        <v/>
      </c>
      <c r="O153" s="56" t="str">
        <f t="shared" si="35"/>
        <v/>
      </c>
      <c r="Q153" s="59" t="str">
        <f>IF(B152=$E$8,XIRR(I$24:I152,D$24:D152),"")</f>
        <v/>
      </c>
      <c r="R153" s="56" t="str">
        <f t="shared" si="34"/>
        <v/>
      </c>
      <c r="S153" s="56">
        <f t="shared" si="28"/>
        <v>0</v>
      </c>
      <c r="T153" s="21" t="e">
        <f t="shared" ca="1" si="29"/>
        <v>#VALUE!</v>
      </c>
      <c r="U153" s="21" t="e">
        <f t="shared" ca="1" si="30"/>
        <v>#VALUE!</v>
      </c>
      <c r="V153" s="21" t="e">
        <f t="shared" ca="1" si="31"/>
        <v>#VALUE!</v>
      </c>
      <c r="W153" s="60" t="e">
        <f t="shared" ca="1" si="32"/>
        <v>#VALUE!</v>
      </c>
      <c r="X153" s="61" t="e">
        <f t="shared" ca="1" si="33"/>
        <v>#VALUE!</v>
      </c>
    </row>
    <row r="154" spans="2:24" x14ac:dyDescent="0.25">
      <c r="B154" s="58" t="str">
        <f t="shared" ref="B154:B217" si="48">IF(B153&lt;$E$8,B153+1,"")</f>
        <v/>
      </c>
      <c r="C154" s="55" t="str">
        <f t="shared" si="39"/>
        <v/>
      </c>
      <c r="D154" s="55" t="str">
        <f t="shared" ca="1" si="46"/>
        <v xml:space="preserve"> </v>
      </c>
      <c r="E154" s="58" t="str">
        <f t="shared" si="47"/>
        <v/>
      </c>
      <c r="F154" s="56" t="str">
        <f t="shared" si="38"/>
        <v/>
      </c>
      <c r="G154" s="56" t="str">
        <f>IF(AND(B153="",B155=""),"",IF(B154="",ROUND(SUM($G$25:G153),2),IF(B154=$E$8,$F$24-ROUND(SUM($G$25:G153),2),ROUND($F$24/$E$8,2))))</f>
        <v/>
      </c>
      <c r="H154" s="56" t="str">
        <f>IF(B153=$E$8,ROUND(SUM($H$25:H153),2),IF(B154&gt;$E$8,"",IF(U154&lt;&gt;U153,ROUND(SUM(W154*$E$9*F153/U154,X154*$E$9*F153/U153),2),ROUND(F153*$E$9*E154/U153,2))))</f>
        <v/>
      </c>
      <c r="I154" s="56" t="str">
        <f>IF(B153=$E$8,SUM($I$25:I153),IF(B153&gt;$E$8,"",G154+H154))</f>
        <v/>
      </c>
      <c r="J154" s="56" t="str">
        <f t="shared" si="40"/>
        <v/>
      </c>
      <c r="K154" s="56" t="str">
        <f t="shared" si="45"/>
        <v/>
      </c>
      <c r="L154" s="56"/>
      <c r="M154" s="56" t="str">
        <f t="shared" si="41"/>
        <v/>
      </c>
      <c r="N154" s="56" t="str">
        <f t="shared" si="36"/>
        <v/>
      </c>
      <c r="O154" s="56" t="str">
        <f t="shared" si="35"/>
        <v/>
      </c>
      <c r="Q154" s="59" t="str">
        <f>IF(B153=$E$8,XIRR(I$24:I153,D$24:D153),"")</f>
        <v/>
      </c>
      <c r="R154" s="56" t="str">
        <f t="shared" si="34"/>
        <v/>
      </c>
      <c r="S154" s="56">
        <f t="shared" ref="S154:S217" si="49">SUM(I154:R154)</f>
        <v>0</v>
      </c>
      <c r="T154" s="21" t="e">
        <f t="shared" ref="T154:T217" ca="1" si="50">IF(D154="","",YEAR(D154))</f>
        <v>#VALUE!</v>
      </c>
      <c r="U154" s="21" t="e">
        <f t="shared" ref="U154:U217" ca="1" si="51">IF(OR(T154=2024,T154=2028,T154=2016,T154=2020,T154=2024,T154=2028,T154=2032,T154=2036,T154=2040),366,365)</f>
        <v>#VALUE!</v>
      </c>
      <c r="V154" s="21" t="e">
        <f t="shared" ref="V154:V217" ca="1" si="52">IF(D154="","",DAY(D154))</f>
        <v>#VALUE!</v>
      </c>
      <c r="W154" s="60" t="e">
        <f t="shared" ref="W154:W217" ca="1" si="53">V154-1</f>
        <v>#VALUE!</v>
      </c>
      <c r="X154" s="61" t="e">
        <f t="shared" ref="X154:X217" ca="1" si="54">E154-W154</f>
        <v>#VALUE!</v>
      </c>
    </row>
    <row r="155" spans="2:24" x14ac:dyDescent="0.25">
      <c r="B155" s="58" t="str">
        <f t="shared" si="48"/>
        <v/>
      </c>
      <c r="C155" s="55" t="str">
        <f t="shared" si="39"/>
        <v/>
      </c>
      <c r="D155" s="55" t="str">
        <f t="shared" ca="1" si="46"/>
        <v xml:space="preserve"> </v>
      </c>
      <c r="E155" s="58" t="str">
        <f t="shared" si="47"/>
        <v/>
      </c>
      <c r="F155" s="56" t="str">
        <f t="shared" si="38"/>
        <v/>
      </c>
      <c r="G155" s="56" t="str">
        <f>IF(AND(B154="",B156=""),"",IF(B155="",ROUND(SUM($G$25:G154),2),IF(B155=$E$8,$F$24-ROUND(SUM($G$25:G154),2),ROUND($F$24/$E$8,2))))</f>
        <v/>
      </c>
      <c r="H155" s="56" t="str">
        <f>IF(B154=$E$8,ROUND(SUM($H$25:H154),2),IF(B155&gt;$E$8,"",IF(U155&lt;&gt;U154,ROUND(SUM(W155*$E$9*F154/U155,X155*$E$9*F154/U154),2),ROUND(F154*$E$9*E155/U154,2))))</f>
        <v/>
      </c>
      <c r="I155" s="56" t="str">
        <f>IF(B154=$E$8,SUM($I$25:I154),IF(B154&gt;$E$8,"",G155+H155))</f>
        <v/>
      </c>
      <c r="J155" s="56" t="str">
        <f t="shared" si="40"/>
        <v/>
      </c>
      <c r="K155" s="56" t="str">
        <f t="shared" si="45"/>
        <v/>
      </c>
      <c r="L155" s="56"/>
      <c r="M155" s="56" t="str">
        <f t="shared" si="41"/>
        <v/>
      </c>
      <c r="N155" s="56" t="str">
        <f t="shared" si="36"/>
        <v/>
      </c>
      <c r="O155" s="56" t="str">
        <f t="shared" si="35"/>
        <v/>
      </c>
      <c r="Q155" s="59" t="str">
        <f>IF(B154=$E$8,XIRR(I$24:I154,D$24:D154),"")</f>
        <v/>
      </c>
      <c r="R155" s="56" t="str">
        <f t="shared" ref="R155:R218" si="55">IF(B154=$E$8,H155+N155+G155+J155+K155+L155+M155+O155+P155,"")</f>
        <v/>
      </c>
      <c r="S155" s="56">
        <f t="shared" si="49"/>
        <v>0</v>
      </c>
      <c r="T155" s="21" t="e">
        <f t="shared" ca="1" si="50"/>
        <v>#VALUE!</v>
      </c>
      <c r="U155" s="21" t="e">
        <f t="shared" ca="1" si="51"/>
        <v>#VALUE!</v>
      </c>
      <c r="V155" s="21" t="e">
        <f t="shared" ca="1" si="52"/>
        <v>#VALUE!</v>
      </c>
      <c r="W155" s="60" t="e">
        <f t="shared" ca="1" si="53"/>
        <v>#VALUE!</v>
      </c>
      <c r="X155" s="61" t="e">
        <f t="shared" ca="1" si="54"/>
        <v>#VALUE!</v>
      </c>
    </row>
    <row r="156" spans="2:24" x14ac:dyDescent="0.25">
      <c r="B156" s="58" t="str">
        <f t="shared" si="48"/>
        <v/>
      </c>
      <c r="C156" s="55" t="str">
        <f t="shared" si="39"/>
        <v/>
      </c>
      <c r="D156" s="55" t="str">
        <f t="shared" ca="1" si="46"/>
        <v xml:space="preserve"> </v>
      </c>
      <c r="E156" s="58" t="str">
        <f t="shared" si="47"/>
        <v/>
      </c>
      <c r="F156" s="56" t="str">
        <f t="shared" si="38"/>
        <v/>
      </c>
      <c r="G156" s="56" t="str">
        <f>IF(AND(B155="",B157=""),"",IF(B156="",ROUND(SUM($G$25:G155),2),IF(B156=$E$8,$F$24-ROUND(SUM($G$25:G155),2),ROUND($F$24/$E$8,2))))</f>
        <v/>
      </c>
      <c r="H156" s="56" t="str">
        <f>IF(B155=$E$8,ROUND(SUM($H$25:H155),2),IF(B156&gt;$E$8,"",IF(U156&lt;&gt;U155,ROUND(SUM(W156*$E$9*F155/U156,X156*$E$9*F155/U155),2),ROUND(F155*$E$9*E156/U155,2))))</f>
        <v/>
      </c>
      <c r="I156" s="56" t="str">
        <f>IF(B155=$E$8,SUM($I$25:I155),IF(B155&gt;$E$8,"",G156+H156))</f>
        <v/>
      </c>
      <c r="J156" s="56" t="str">
        <f t="shared" si="40"/>
        <v/>
      </c>
      <c r="K156" s="56" t="str">
        <f t="shared" si="45"/>
        <v/>
      </c>
      <c r="L156" s="56"/>
      <c r="M156" s="56" t="str">
        <f t="shared" si="41"/>
        <v/>
      </c>
      <c r="N156" s="56" t="str">
        <f t="shared" si="36"/>
        <v/>
      </c>
      <c r="O156" s="56" t="str">
        <f t="shared" si="35"/>
        <v/>
      </c>
      <c r="Q156" s="59" t="str">
        <f>IF(B155=$E$8,XIRR(I$24:I155,D$24:D155),"")</f>
        <v/>
      </c>
      <c r="R156" s="56" t="str">
        <f t="shared" si="55"/>
        <v/>
      </c>
      <c r="S156" s="56">
        <f t="shared" si="49"/>
        <v>0</v>
      </c>
      <c r="T156" s="21" t="e">
        <f t="shared" ca="1" si="50"/>
        <v>#VALUE!</v>
      </c>
      <c r="U156" s="21" t="e">
        <f t="shared" ca="1" si="51"/>
        <v>#VALUE!</v>
      </c>
      <c r="V156" s="21" t="e">
        <f t="shared" ca="1" si="52"/>
        <v>#VALUE!</v>
      </c>
      <c r="W156" s="60" t="e">
        <f t="shared" ca="1" si="53"/>
        <v>#VALUE!</v>
      </c>
      <c r="X156" s="61" t="e">
        <f t="shared" ca="1" si="54"/>
        <v>#VALUE!</v>
      </c>
    </row>
    <row r="157" spans="2:24" x14ac:dyDescent="0.25">
      <c r="B157" s="58" t="str">
        <f t="shared" si="48"/>
        <v/>
      </c>
      <c r="C157" s="55" t="str">
        <f t="shared" si="39"/>
        <v/>
      </c>
      <c r="D157" s="55" t="str">
        <f t="shared" ca="1" si="46"/>
        <v xml:space="preserve"> </v>
      </c>
      <c r="E157" s="58" t="str">
        <f t="shared" si="47"/>
        <v/>
      </c>
      <c r="F157" s="56" t="str">
        <f t="shared" si="38"/>
        <v/>
      </c>
      <c r="G157" s="56" t="str">
        <f>IF(AND(B156="",B158=""),"",IF(B157="",ROUND(SUM($G$25:G156),2),IF(B157=$E$8,$F$24-ROUND(SUM($G$25:G156),2),ROUND($F$24/$E$8,2))))</f>
        <v/>
      </c>
      <c r="H157" s="56" t="str">
        <f>IF(B156=$E$8,ROUND(SUM($H$25:H156),2),IF(B157&gt;$E$8,"",IF(U157&lt;&gt;U156,ROUND(SUM(W157*$E$9*F156/U157,X157*$E$9*F156/U156),2),ROUND(F156*$E$9*E157/U156,2))))</f>
        <v/>
      </c>
      <c r="I157" s="56" t="str">
        <f>IF(B156=$E$8,SUM($I$25:I156),IF(B156&gt;$E$8,"",G157+H157))</f>
        <v/>
      </c>
      <c r="J157" s="56" t="str">
        <f t="shared" si="40"/>
        <v/>
      </c>
      <c r="K157" s="56" t="str">
        <f>IF($E$8&gt;B156,$O$9,IF($E$8=B156,SUM($K$24:K156)," "))</f>
        <v xml:space="preserve"> </v>
      </c>
      <c r="L157" s="56" t="str">
        <f>IF($E$8&gt;B156,($P$8+$O$10*F156),IF(B156=$E$8,$L$37+$L$24+$L$49+$L$61+$L$73+$L$85+$L$97+$L$109+$L$121+$L$133+$L$145,""))</f>
        <v/>
      </c>
      <c r="M157" s="56" t="str">
        <f t="shared" si="41"/>
        <v/>
      </c>
      <c r="N157" s="56" t="str">
        <f t="shared" si="36"/>
        <v/>
      </c>
      <c r="O157" s="56" t="str">
        <f t="shared" ref="O157:O220" si="56">IF(B156=$E$8,$O$24,"")</f>
        <v/>
      </c>
      <c r="Q157" s="59" t="str">
        <f>IF(B156=$E$8,XIRR(I$24:I156,D$24:D156),"")</f>
        <v/>
      </c>
      <c r="R157" s="56" t="str">
        <f t="shared" si="55"/>
        <v/>
      </c>
      <c r="S157" s="56">
        <f t="shared" si="49"/>
        <v>0</v>
      </c>
      <c r="T157" s="21" t="e">
        <f t="shared" ca="1" si="50"/>
        <v>#VALUE!</v>
      </c>
      <c r="U157" s="21" t="e">
        <f t="shared" ca="1" si="51"/>
        <v>#VALUE!</v>
      </c>
      <c r="V157" s="21" t="e">
        <f t="shared" ca="1" si="52"/>
        <v>#VALUE!</v>
      </c>
      <c r="W157" s="60" t="e">
        <f t="shared" ca="1" si="53"/>
        <v>#VALUE!</v>
      </c>
      <c r="X157" s="61" t="e">
        <f t="shared" ca="1" si="54"/>
        <v>#VALUE!</v>
      </c>
    </row>
    <row r="158" spans="2:24" x14ac:dyDescent="0.25">
      <c r="B158" s="58" t="str">
        <f t="shared" si="48"/>
        <v/>
      </c>
      <c r="C158" s="55" t="str">
        <f t="shared" si="39"/>
        <v/>
      </c>
      <c r="D158" s="55" t="str">
        <f t="shared" ca="1" si="46"/>
        <v xml:space="preserve"> </v>
      </c>
      <c r="E158" s="58" t="str">
        <f t="shared" si="47"/>
        <v/>
      </c>
      <c r="F158" s="56" t="str">
        <f t="shared" si="38"/>
        <v/>
      </c>
      <c r="G158" s="56" t="str">
        <f>IF(AND(B157="",B159=""),"",IF(B158="",ROUND(SUM($G$25:G157),2),IF(B158=$E$8,$F$24-ROUND(SUM($G$25:G157),2),ROUND($F$24/$E$8,2))))</f>
        <v/>
      </c>
      <c r="H158" s="56" t="str">
        <f>IF(B157=$E$8,ROUND(SUM($H$25:H157),2),IF(B158&gt;$E$8,"",IF(U158&lt;&gt;U157,ROUND(SUM(W158*$E$9*F157/U158,X158*$E$9*F157/U157),2),ROUND(F157*$E$9*E158/U157,2))))</f>
        <v/>
      </c>
      <c r="I158" s="56" t="str">
        <f>IF(B157=$E$8,SUM($I$25:I157),IF(B157&gt;$E$8,"",G158+H158))</f>
        <v/>
      </c>
      <c r="J158" s="56" t="str">
        <f t="shared" si="40"/>
        <v/>
      </c>
      <c r="K158" s="56" t="str">
        <f t="shared" ref="K158:K168" si="57">IF(B157=$E$8,$K$24,"")</f>
        <v/>
      </c>
      <c r="L158" s="56"/>
      <c r="M158" s="56" t="str">
        <f t="shared" si="41"/>
        <v/>
      </c>
      <c r="N158" s="56" t="str">
        <f t="shared" ref="N158:N221" si="58">IF(B157=$E$8,$N$24,"")</f>
        <v/>
      </c>
      <c r="O158" s="56" t="str">
        <f t="shared" si="56"/>
        <v/>
      </c>
      <c r="Q158" s="59" t="str">
        <f>IF(B157=$E$8,XIRR(I$24:I157,D$24:D157),"")</f>
        <v/>
      </c>
      <c r="R158" s="56" t="str">
        <f t="shared" si="55"/>
        <v/>
      </c>
      <c r="S158" s="56">
        <f t="shared" si="49"/>
        <v>0</v>
      </c>
      <c r="T158" s="21" t="e">
        <f t="shared" ca="1" si="50"/>
        <v>#VALUE!</v>
      </c>
      <c r="U158" s="21" t="e">
        <f t="shared" ca="1" si="51"/>
        <v>#VALUE!</v>
      </c>
      <c r="V158" s="21" t="e">
        <f t="shared" ca="1" si="52"/>
        <v>#VALUE!</v>
      </c>
      <c r="W158" s="60" t="e">
        <f t="shared" ca="1" si="53"/>
        <v>#VALUE!</v>
      </c>
      <c r="X158" s="61" t="e">
        <f t="shared" ca="1" si="54"/>
        <v>#VALUE!</v>
      </c>
    </row>
    <row r="159" spans="2:24" x14ac:dyDescent="0.25">
      <c r="B159" s="58" t="str">
        <f t="shared" si="48"/>
        <v/>
      </c>
      <c r="C159" s="55" t="str">
        <f t="shared" si="39"/>
        <v/>
      </c>
      <c r="D159" s="55" t="str">
        <f t="shared" ca="1" si="46"/>
        <v xml:space="preserve"> </v>
      </c>
      <c r="E159" s="58" t="str">
        <f t="shared" si="47"/>
        <v/>
      </c>
      <c r="F159" s="56" t="str">
        <f t="shared" si="38"/>
        <v/>
      </c>
      <c r="G159" s="56" t="str">
        <f>IF(AND(B158="",B160=""),"",IF(B159="",ROUND(SUM($G$25:G158),2),IF(B159=$E$8,$F$24-ROUND(SUM($G$25:G158),2),ROUND($F$24/$E$8,2))))</f>
        <v/>
      </c>
      <c r="H159" s="56" t="str">
        <f>IF(B158=$E$8,ROUND(SUM($H$25:H158),2),IF(B159&gt;$E$8,"",IF(U159&lt;&gt;U158,ROUND(SUM(W159*$E$9*F158/U159,X159*$E$9*F158/U158),2),ROUND(F158*$E$9*E159/U158,2))))</f>
        <v/>
      </c>
      <c r="I159" s="56" t="str">
        <f>IF(B158=$E$8,SUM($I$25:I158),IF(B158&gt;$E$8,"",G159+H159))</f>
        <v/>
      </c>
      <c r="J159" s="56" t="str">
        <f t="shared" si="40"/>
        <v/>
      </c>
      <c r="K159" s="56" t="str">
        <f t="shared" si="57"/>
        <v/>
      </c>
      <c r="L159" s="56"/>
      <c r="M159" s="56" t="str">
        <f t="shared" si="41"/>
        <v/>
      </c>
      <c r="N159" s="56" t="str">
        <f t="shared" si="58"/>
        <v/>
      </c>
      <c r="O159" s="56" t="str">
        <f t="shared" si="56"/>
        <v/>
      </c>
      <c r="Q159" s="59" t="str">
        <f>IF(B158=$E$8,XIRR(I$24:I158,D$24:D158),"")</f>
        <v/>
      </c>
      <c r="R159" s="56" t="str">
        <f t="shared" si="55"/>
        <v/>
      </c>
      <c r="S159" s="56">
        <f t="shared" si="49"/>
        <v>0</v>
      </c>
      <c r="T159" s="21" t="e">
        <f t="shared" ca="1" si="50"/>
        <v>#VALUE!</v>
      </c>
      <c r="U159" s="21" t="e">
        <f t="shared" ca="1" si="51"/>
        <v>#VALUE!</v>
      </c>
      <c r="V159" s="21" t="e">
        <f t="shared" ca="1" si="52"/>
        <v>#VALUE!</v>
      </c>
      <c r="W159" s="60" t="e">
        <f t="shared" ca="1" si="53"/>
        <v>#VALUE!</v>
      </c>
      <c r="X159" s="61" t="e">
        <f t="shared" ca="1" si="54"/>
        <v>#VALUE!</v>
      </c>
    </row>
    <row r="160" spans="2:24" x14ac:dyDescent="0.25">
      <c r="B160" s="58" t="str">
        <f t="shared" si="48"/>
        <v/>
      </c>
      <c r="C160" s="55" t="str">
        <f t="shared" si="39"/>
        <v/>
      </c>
      <c r="D160" s="55" t="str">
        <f t="shared" ca="1" si="46"/>
        <v xml:space="preserve"> </v>
      </c>
      <c r="E160" s="58" t="str">
        <f t="shared" si="47"/>
        <v/>
      </c>
      <c r="F160" s="56" t="str">
        <f t="shared" si="38"/>
        <v/>
      </c>
      <c r="G160" s="56" t="str">
        <f>IF(AND(B159="",B161=""),"",IF(B160="",ROUND(SUM($G$25:G159),2),IF(B160=$E$8,$F$24-ROUND(SUM($G$25:G159),2),ROUND($F$24/$E$8,2))))</f>
        <v/>
      </c>
      <c r="H160" s="56" t="str">
        <f>IF(B159=$E$8,ROUND(SUM($H$25:H159),2),IF(B160&gt;$E$8,"",IF(U160&lt;&gt;U159,ROUND(SUM(W160*$E$9*F159/U160,X160*$E$9*F159/U159),2),ROUND(F159*$E$9*E160/U159,2))))</f>
        <v/>
      </c>
      <c r="I160" s="56" t="str">
        <f>IF(B159=$E$8,SUM($I$25:I159),IF(B159&gt;$E$8,"",G160+H160))</f>
        <v/>
      </c>
      <c r="J160" s="56" t="str">
        <f t="shared" si="40"/>
        <v/>
      </c>
      <c r="K160" s="56" t="str">
        <f t="shared" si="57"/>
        <v/>
      </c>
      <c r="L160" s="56"/>
      <c r="M160" s="56" t="str">
        <f t="shared" si="41"/>
        <v/>
      </c>
      <c r="N160" s="56" t="str">
        <f t="shared" si="58"/>
        <v/>
      </c>
      <c r="O160" s="56" t="str">
        <f t="shared" si="56"/>
        <v/>
      </c>
      <c r="Q160" s="59" t="str">
        <f>IF(B159=$E$8,XIRR(I$24:I159,D$24:D159),"")</f>
        <v/>
      </c>
      <c r="R160" s="56" t="str">
        <f t="shared" si="55"/>
        <v/>
      </c>
      <c r="S160" s="56">
        <f t="shared" si="49"/>
        <v>0</v>
      </c>
      <c r="T160" s="21" t="e">
        <f t="shared" ca="1" si="50"/>
        <v>#VALUE!</v>
      </c>
      <c r="U160" s="21" t="e">
        <f t="shared" ca="1" si="51"/>
        <v>#VALUE!</v>
      </c>
      <c r="V160" s="21" t="e">
        <f t="shared" ca="1" si="52"/>
        <v>#VALUE!</v>
      </c>
      <c r="W160" s="60" t="e">
        <f t="shared" ca="1" si="53"/>
        <v>#VALUE!</v>
      </c>
      <c r="X160" s="61" t="e">
        <f t="shared" ca="1" si="54"/>
        <v>#VALUE!</v>
      </c>
    </row>
    <row r="161" spans="2:24" x14ac:dyDescent="0.25">
      <c r="B161" s="58" t="str">
        <f t="shared" si="48"/>
        <v/>
      </c>
      <c r="C161" s="55" t="str">
        <f t="shared" si="39"/>
        <v/>
      </c>
      <c r="D161" s="55" t="str">
        <f t="shared" ca="1" si="46"/>
        <v xml:space="preserve"> </v>
      </c>
      <c r="E161" s="58" t="str">
        <f t="shared" si="47"/>
        <v/>
      </c>
      <c r="F161" s="56" t="str">
        <f t="shared" si="38"/>
        <v/>
      </c>
      <c r="G161" s="56" t="str">
        <f>IF(AND(B160="",B162=""),"",IF(B161="",ROUND(SUM($G$25:G160),2),IF(B161=$E$8,$F$24-ROUND(SUM($G$25:G160),2),ROUND($F$24/$E$8,2))))</f>
        <v/>
      </c>
      <c r="H161" s="56" t="str">
        <f>IF(B160=$E$8,ROUND(SUM($H$25:H160),2),IF(B161&gt;$E$8,"",IF(U161&lt;&gt;U160,ROUND(SUM(W161*$E$9*F160/U161,X161*$E$9*F160/U160),2),ROUND(F160*$E$9*E161/U160,2))))</f>
        <v/>
      </c>
      <c r="I161" s="56" t="str">
        <f>IF(B160=$E$8,SUM($I$25:I160),IF(B160&gt;$E$8,"",G161+H161))</f>
        <v/>
      </c>
      <c r="J161" s="56" t="str">
        <f t="shared" si="40"/>
        <v/>
      </c>
      <c r="K161" s="56" t="str">
        <f t="shared" si="57"/>
        <v/>
      </c>
      <c r="L161" s="56"/>
      <c r="M161" s="56" t="str">
        <f t="shared" si="41"/>
        <v/>
      </c>
      <c r="N161" s="56" t="str">
        <f t="shared" si="58"/>
        <v/>
      </c>
      <c r="O161" s="56" t="str">
        <f t="shared" si="56"/>
        <v/>
      </c>
      <c r="Q161" s="59" t="str">
        <f>IF(B160=$E$8,XIRR(I$24:I160,D$24:D160),"")</f>
        <v/>
      </c>
      <c r="R161" s="56" t="str">
        <f t="shared" si="55"/>
        <v/>
      </c>
      <c r="S161" s="56">
        <f t="shared" si="49"/>
        <v>0</v>
      </c>
      <c r="T161" s="21" t="e">
        <f t="shared" ca="1" si="50"/>
        <v>#VALUE!</v>
      </c>
      <c r="U161" s="21" t="e">
        <f t="shared" ca="1" si="51"/>
        <v>#VALUE!</v>
      </c>
      <c r="V161" s="21" t="e">
        <f t="shared" ca="1" si="52"/>
        <v>#VALUE!</v>
      </c>
      <c r="W161" s="60" t="e">
        <f t="shared" ca="1" si="53"/>
        <v>#VALUE!</v>
      </c>
      <c r="X161" s="61" t="e">
        <f t="shared" ca="1" si="54"/>
        <v>#VALUE!</v>
      </c>
    </row>
    <row r="162" spans="2:24" x14ac:dyDescent="0.25">
      <c r="B162" s="58" t="str">
        <f t="shared" si="48"/>
        <v/>
      </c>
      <c r="C162" s="55" t="str">
        <f t="shared" si="39"/>
        <v/>
      </c>
      <c r="D162" s="55" t="str">
        <f t="shared" ca="1" si="46"/>
        <v xml:space="preserve"> </v>
      </c>
      <c r="E162" s="58" t="str">
        <f t="shared" si="47"/>
        <v/>
      </c>
      <c r="F162" s="56" t="str">
        <f t="shared" si="38"/>
        <v/>
      </c>
      <c r="G162" s="56" t="str">
        <f>IF(AND(B161="",B163=""),"",IF(B162="",ROUND(SUM($G$25:G161),2),IF(B162=$E$8,$F$24-ROUND(SUM($G$25:G161),2),ROUND($F$24/$E$8,2))))</f>
        <v/>
      </c>
      <c r="H162" s="56" t="str">
        <f>IF(B161=$E$8,ROUND(SUM($H$25:H161),2),IF(B162&gt;$E$8,"",IF(U162&lt;&gt;U161,ROUND(SUM(W162*$E$9*F161/U162,X162*$E$9*F161/U161),2),ROUND(F161*$E$9*E162/U161,2))))</f>
        <v/>
      </c>
      <c r="I162" s="56" t="str">
        <f>IF(B161=$E$8,SUM($I$25:I161),IF(B161&gt;$E$8,"",G162+H162))</f>
        <v/>
      </c>
      <c r="J162" s="56" t="str">
        <f t="shared" si="40"/>
        <v/>
      </c>
      <c r="K162" s="56" t="str">
        <f t="shared" si="57"/>
        <v/>
      </c>
      <c r="L162" s="56"/>
      <c r="M162" s="56" t="str">
        <f t="shared" si="41"/>
        <v/>
      </c>
      <c r="N162" s="56" t="str">
        <f t="shared" si="58"/>
        <v/>
      </c>
      <c r="O162" s="56" t="str">
        <f t="shared" si="56"/>
        <v/>
      </c>
      <c r="Q162" s="59" t="str">
        <f>IF(B161=$E$8,XIRR(I$24:I161,D$24:D161),"")</f>
        <v/>
      </c>
      <c r="R162" s="56" t="str">
        <f t="shared" si="55"/>
        <v/>
      </c>
      <c r="S162" s="56">
        <f t="shared" si="49"/>
        <v>0</v>
      </c>
      <c r="T162" s="21" t="e">
        <f t="shared" ca="1" si="50"/>
        <v>#VALUE!</v>
      </c>
      <c r="U162" s="21" t="e">
        <f t="shared" ca="1" si="51"/>
        <v>#VALUE!</v>
      </c>
      <c r="V162" s="21" t="e">
        <f t="shared" ca="1" si="52"/>
        <v>#VALUE!</v>
      </c>
      <c r="W162" s="60" t="e">
        <f t="shared" ca="1" si="53"/>
        <v>#VALUE!</v>
      </c>
      <c r="X162" s="61" t="e">
        <f t="shared" ca="1" si="54"/>
        <v>#VALUE!</v>
      </c>
    </row>
    <row r="163" spans="2:24" x14ac:dyDescent="0.25">
      <c r="B163" s="58" t="str">
        <f t="shared" si="48"/>
        <v/>
      </c>
      <c r="C163" s="55" t="str">
        <f t="shared" si="39"/>
        <v/>
      </c>
      <c r="D163" s="55" t="str">
        <f t="shared" ca="1" si="46"/>
        <v xml:space="preserve"> </v>
      </c>
      <c r="E163" s="58" t="str">
        <f t="shared" si="47"/>
        <v/>
      </c>
      <c r="F163" s="56" t="str">
        <f t="shared" si="38"/>
        <v/>
      </c>
      <c r="G163" s="56" t="str">
        <f>IF(AND(B162="",B164=""),"",IF(B163="",ROUND(SUM($G$25:G162),2),IF(B163=$E$8,$F$24-ROUND(SUM($G$25:G162),2),ROUND($F$24/$E$8,2))))</f>
        <v/>
      </c>
      <c r="H163" s="56" t="str">
        <f>IF(B162=$E$8,ROUND(SUM($H$25:H162),2),IF(B163&gt;$E$8,"",IF(U163&lt;&gt;U162,ROUND(SUM(W163*$E$9*F162/U163,X163*$E$9*F162/U162),2),ROUND(F162*$E$9*E163/U162,2))))</f>
        <v/>
      </c>
      <c r="I163" s="56" t="str">
        <f>IF(B162=$E$8,SUM($I$25:I162),IF(B162&gt;$E$8,"",G163+H163))</f>
        <v/>
      </c>
      <c r="J163" s="56" t="str">
        <f t="shared" si="40"/>
        <v/>
      </c>
      <c r="K163" s="56" t="str">
        <f t="shared" si="57"/>
        <v/>
      </c>
      <c r="L163" s="56"/>
      <c r="M163" s="56" t="str">
        <f t="shared" si="41"/>
        <v/>
      </c>
      <c r="N163" s="56" t="str">
        <f t="shared" si="58"/>
        <v/>
      </c>
      <c r="O163" s="56" t="str">
        <f t="shared" si="56"/>
        <v/>
      </c>
      <c r="Q163" s="59" t="str">
        <f>IF(B162=$E$8,XIRR(I$24:I162,D$24:D162),"")</f>
        <v/>
      </c>
      <c r="R163" s="56" t="str">
        <f t="shared" si="55"/>
        <v/>
      </c>
      <c r="S163" s="56">
        <f t="shared" si="49"/>
        <v>0</v>
      </c>
      <c r="T163" s="21" t="e">
        <f t="shared" ca="1" si="50"/>
        <v>#VALUE!</v>
      </c>
      <c r="U163" s="21" t="e">
        <f t="shared" ca="1" si="51"/>
        <v>#VALUE!</v>
      </c>
      <c r="V163" s="21" t="e">
        <f t="shared" ca="1" si="52"/>
        <v>#VALUE!</v>
      </c>
      <c r="W163" s="60" t="e">
        <f t="shared" ca="1" si="53"/>
        <v>#VALUE!</v>
      </c>
      <c r="X163" s="61" t="e">
        <f t="shared" ca="1" si="54"/>
        <v>#VALUE!</v>
      </c>
    </row>
    <row r="164" spans="2:24" x14ac:dyDescent="0.25">
      <c r="B164" s="58" t="str">
        <f t="shared" si="48"/>
        <v/>
      </c>
      <c r="C164" s="55" t="str">
        <f t="shared" si="39"/>
        <v/>
      </c>
      <c r="D164" s="55" t="str">
        <f t="shared" ca="1" si="46"/>
        <v xml:space="preserve"> </v>
      </c>
      <c r="E164" s="58" t="str">
        <f t="shared" si="47"/>
        <v/>
      </c>
      <c r="F164" s="56" t="str">
        <f t="shared" si="38"/>
        <v/>
      </c>
      <c r="G164" s="56" t="str">
        <f>IF(AND(B163="",B165=""),"",IF(B164="",ROUND(SUM($G$25:G163),2),IF(B164=$E$8,$F$24-ROUND(SUM($G$25:G163),2),ROUND($F$24/$E$8,2))))</f>
        <v/>
      </c>
      <c r="H164" s="56" t="str">
        <f>IF(B163=$E$8,ROUND(SUM($H$25:H163),2),IF(B164&gt;$E$8,"",IF(U164&lt;&gt;U163,ROUND(SUM(W164*$E$9*F163/U164,X164*$E$9*F163/U163),2),ROUND(F163*$E$9*E164/U163,2))))</f>
        <v/>
      </c>
      <c r="I164" s="56" t="str">
        <f>IF(B163=$E$8,SUM($I$25:I163),IF(B163&gt;$E8,"",G164+H164))</f>
        <v/>
      </c>
      <c r="J164" s="56" t="str">
        <f t="shared" si="40"/>
        <v/>
      </c>
      <c r="K164" s="56" t="str">
        <f t="shared" si="57"/>
        <v/>
      </c>
      <c r="L164" s="56"/>
      <c r="M164" s="56" t="str">
        <f t="shared" si="41"/>
        <v/>
      </c>
      <c r="N164" s="56" t="str">
        <f t="shared" si="58"/>
        <v/>
      </c>
      <c r="O164" s="56" t="str">
        <f t="shared" si="56"/>
        <v/>
      </c>
      <c r="Q164" s="59" t="str">
        <f>IF(B163=$E$8,XIRR(I$24:I163,D$24:D163),"")</f>
        <v/>
      </c>
      <c r="R164" s="56" t="str">
        <f t="shared" si="55"/>
        <v/>
      </c>
      <c r="S164" s="56">
        <f t="shared" si="49"/>
        <v>0</v>
      </c>
      <c r="T164" s="21" t="e">
        <f t="shared" ca="1" si="50"/>
        <v>#VALUE!</v>
      </c>
      <c r="U164" s="21" t="e">
        <f t="shared" ca="1" si="51"/>
        <v>#VALUE!</v>
      </c>
      <c r="V164" s="21" t="e">
        <f t="shared" ca="1" si="52"/>
        <v>#VALUE!</v>
      </c>
      <c r="W164" s="60" t="e">
        <f t="shared" ca="1" si="53"/>
        <v>#VALUE!</v>
      </c>
      <c r="X164" s="61" t="e">
        <f t="shared" ca="1" si="54"/>
        <v>#VALUE!</v>
      </c>
    </row>
    <row r="165" spans="2:24" x14ac:dyDescent="0.25">
      <c r="B165" s="58" t="str">
        <f t="shared" si="48"/>
        <v/>
      </c>
      <c r="C165" s="55" t="str">
        <f t="shared" si="39"/>
        <v/>
      </c>
      <c r="D165" s="55" t="str">
        <f t="shared" ca="1" si="46"/>
        <v xml:space="preserve"> </v>
      </c>
      <c r="E165" s="58" t="str">
        <f t="shared" si="47"/>
        <v/>
      </c>
      <c r="F165" s="56" t="str">
        <f t="shared" ref="F165:F228" si="59">IF(B165&gt;$E$8,"",F164-G165)</f>
        <v/>
      </c>
      <c r="G165" s="56" t="str">
        <f>IF(AND(B164="",B166=""),"",IF(B165="",ROUND(SUM($G$25:G164),2),IF(B165=$E$8,$F$24-ROUND(SUM($G$25:G164),2),ROUND($F$24/$E$8,2))))</f>
        <v/>
      </c>
      <c r="H165" s="56" t="str">
        <f>IF(B164=$E$8,ROUND(SUM($H$25:H164),2),IF(B165&gt;$E$8,"",IF(U165&lt;&gt;U164,ROUND(SUM(W165*$E$9*F164/U165,X165*$E$9*F164/U164),2),ROUND(F164*$E$9*E165/U164,2))))</f>
        <v/>
      </c>
      <c r="I165" s="56" t="str">
        <f>IF(B164=$E$8,SUM($I$25:I164),IF(B164&gt;$E$8,"",G165+H165))</f>
        <v/>
      </c>
      <c r="J165" s="56" t="str">
        <f t="shared" si="40"/>
        <v/>
      </c>
      <c r="K165" s="56" t="str">
        <f t="shared" si="57"/>
        <v/>
      </c>
      <c r="L165" s="56"/>
      <c r="M165" s="56" t="str">
        <f t="shared" si="41"/>
        <v/>
      </c>
      <c r="N165" s="56" t="str">
        <f t="shared" si="58"/>
        <v/>
      </c>
      <c r="O165" s="56" t="str">
        <f t="shared" si="56"/>
        <v/>
      </c>
      <c r="Q165" s="59" t="str">
        <f>IF(B164=$E$8,XIRR(I$24:I164,D$24:D164),"")</f>
        <v/>
      </c>
      <c r="R165" s="56" t="str">
        <f t="shared" si="55"/>
        <v/>
      </c>
      <c r="S165" s="56">
        <f t="shared" si="49"/>
        <v>0</v>
      </c>
      <c r="T165" s="21" t="e">
        <f t="shared" ca="1" si="50"/>
        <v>#VALUE!</v>
      </c>
      <c r="U165" s="21" t="e">
        <f t="shared" ca="1" si="51"/>
        <v>#VALUE!</v>
      </c>
      <c r="V165" s="21" t="e">
        <f t="shared" ca="1" si="52"/>
        <v>#VALUE!</v>
      </c>
      <c r="W165" s="60" t="e">
        <f t="shared" ca="1" si="53"/>
        <v>#VALUE!</v>
      </c>
      <c r="X165" s="61" t="e">
        <f t="shared" ca="1" si="54"/>
        <v>#VALUE!</v>
      </c>
    </row>
    <row r="166" spans="2:24" x14ac:dyDescent="0.25">
      <c r="B166" s="58" t="str">
        <f t="shared" si="48"/>
        <v/>
      </c>
      <c r="C166" s="55" t="str">
        <f t="shared" ref="C166:C229" si="60">IF(B166="","",EDATE($C$24,B166))</f>
        <v/>
      </c>
      <c r="D166" s="55" t="str">
        <f t="shared" ca="1" si="46"/>
        <v xml:space="preserve"> </v>
      </c>
      <c r="E166" s="58" t="str">
        <f t="shared" si="47"/>
        <v/>
      </c>
      <c r="F166" s="56" t="str">
        <f t="shared" si="59"/>
        <v/>
      </c>
      <c r="G166" s="56" t="str">
        <f>IF(AND(B165="",B167=""),"",IF(B166="",ROUND(SUM($G$25:G165),2),IF(B166=$E$8,$F$24-ROUND(SUM($G$25:G165),2),ROUND($F$24/$E$8,2))))</f>
        <v/>
      </c>
      <c r="H166" s="56" t="str">
        <f>IF(B165=$E$8,ROUND(SUM($H$25:H165),2),IF(B166&gt;$E$8,"",IF(U166&lt;&gt;U165,ROUND(SUM(W166*$E$9*F165/U166,X166*$E$9*F165/U165),2),ROUND(F165*$E$9*E166/U165,2))))</f>
        <v/>
      </c>
      <c r="I166" s="56" t="str">
        <f>IF(B165=$E$8,SUM($I$25:I165),IF(B165&gt;$E$8,"",G166+H166))</f>
        <v/>
      </c>
      <c r="J166" s="56" t="str">
        <f t="shared" ref="J166:J229" si="61">IF(B165=$E$8,$J$24,"")</f>
        <v/>
      </c>
      <c r="K166" s="56" t="str">
        <f t="shared" si="57"/>
        <v/>
      </c>
      <c r="L166" s="56"/>
      <c r="M166" s="56" t="str">
        <f t="shared" ref="M166:M229" si="62">IF(B165=$E$8,$M$24,"")</f>
        <v/>
      </c>
      <c r="N166" s="56" t="str">
        <f t="shared" si="58"/>
        <v/>
      </c>
      <c r="O166" s="56" t="str">
        <f t="shared" si="56"/>
        <v/>
      </c>
      <c r="Q166" s="59" t="str">
        <f>IF(B165=$E$8,XIRR(I$24:I165,D$24:D165),"")</f>
        <v/>
      </c>
      <c r="R166" s="56" t="str">
        <f t="shared" si="55"/>
        <v/>
      </c>
      <c r="S166" s="56">
        <f t="shared" si="49"/>
        <v>0</v>
      </c>
      <c r="T166" s="21" t="e">
        <f t="shared" ca="1" si="50"/>
        <v>#VALUE!</v>
      </c>
      <c r="U166" s="21" t="e">
        <f t="shared" ca="1" si="51"/>
        <v>#VALUE!</v>
      </c>
      <c r="V166" s="21" t="e">
        <f t="shared" ca="1" si="52"/>
        <v>#VALUE!</v>
      </c>
      <c r="W166" s="60" t="e">
        <f t="shared" ca="1" si="53"/>
        <v>#VALUE!</v>
      </c>
      <c r="X166" s="61" t="e">
        <f t="shared" ca="1" si="54"/>
        <v>#VALUE!</v>
      </c>
    </row>
    <row r="167" spans="2:24" x14ac:dyDescent="0.25">
      <c r="B167" s="58" t="str">
        <f t="shared" si="48"/>
        <v/>
      </c>
      <c r="C167" s="55" t="str">
        <f t="shared" si="60"/>
        <v/>
      </c>
      <c r="D167" s="55" t="str">
        <f t="shared" ca="1" si="46"/>
        <v xml:space="preserve"> </v>
      </c>
      <c r="E167" s="58" t="str">
        <f t="shared" si="47"/>
        <v/>
      </c>
      <c r="F167" s="56" t="str">
        <f t="shared" si="59"/>
        <v/>
      </c>
      <c r="G167" s="56" t="str">
        <f>IF(AND(B166="",B168=""),"",IF(B167="",ROUND(SUM($G$25:G166),2),IF(B167=$E$8,$F$24-ROUND(SUM($G$25:G166),2),ROUND($F$24/$E$8,2))))</f>
        <v/>
      </c>
      <c r="H167" s="56" t="str">
        <f>IF(B166=$E$8,ROUND(SUM($H$25:H166),2),IF(B167&gt;$E$8,"",IF(U167&lt;&gt;U166,ROUND(SUM(W167*$E$9*F166/U167,X167*$E$9*F166/U166),2),ROUND(F166*$E$9*E167/U166,2))))</f>
        <v/>
      </c>
      <c r="I167" s="56" t="str">
        <f>IF(B166=$E$8,SUM($I$25:I166),IF(B166&gt;$E$8,"",G167+H167))</f>
        <v/>
      </c>
      <c r="J167" s="56" t="str">
        <f t="shared" si="61"/>
        <v/>
      </c>
      <c r="K167" s="56" t="str">
        <f t="shared" si="57"/>
        <v/>
      </c>
      <c r="L167" s="56"/>
      <c r="M167" s="56" t="str">
        <f t="shared" si="62"/>
        <v/>
      </c>
      <c r="N167" s="56" t="str">
        <f t="shared" si="58"/>
        <v/>
      </c>
      <c r="O167" s="56" t="str">
        <f t="shared" si="56"/>
        <v/>
      </c>
      <c r="Q167" s="59" t="str">
        <f>IF(B166=$E$8,XIRR(I$24:I166,D$24:D166),"")</f>
        <v/>
      </c>
      <c r="R167" s="56" t="str">
        <f t="shared" si="55"/>
        <v/>
      </c>
      <c r="S167" s="56">
        <f t="shared" si="49"/>
        <v>0</v>
      </c>
      <c r="T167" s="21" t="e">
        <f t="shared" ca="1" si="50"/>
        <v>#VALUE!</v>
      </c>
      <c r="U167" s="21" t="e">
        <f t="shared" ca="1" si="51"/>
        <v>#VALUE!</v>
      </c>
      <c r="V167" s="21" t="e">
        <f t="shared" ca="1" si="52"/>
        <v>#VALUE!</v>
      </c>
      <c r="W167" s="60" t="e">
        <f t="shared" ca="1" si="53"/>
        <v>#VALUE!</v>
      </c>
      <c r="X167" s="61" t="e">
        <f t="shared" ca="1" si="54"/>
        <v>#VALUE!</v>
      </c>
    </row>
    <row r="168" spans="2:24" x14ac:dyDescent="0.25">
      <c r="B168" s="58" t="str">
        <f t="shared" si="48"/>
        <v/>
      </c>
      <c r="C168" s="55" t="str">
        <f t="shared" si="60"/>
        <v/>
      </c>
      <c r="D168" s="55" t="str">
        <f t="shared" ca="1" si="46"/>
        <v xml:space="preserve"> </v>
      </c>
      <c r="E168" s="58" t="str">
        <f t="shared" si="47"/>
        <v/>
      </c>
      <c r="F168" s="56" t="str">
        <f t="shared" si="59"/>
        <v/>
      </c>
      <c r="G168" s="56" t="str">
        <f>IF(AND(B167="",B169=""),"",IF(B168="",ROUND(SUM($G$25:G167),2),IF(B168=$E$8,$F$24-ROUND(SUM($G$25:G167),2),ROUND($F$24/$E$8,2))))</f>
        <v/>
      </c>
      <c r="H168" s="56" t="str">
        <f>IF(B167=$E$8,ROUND(SUM($H$25:H167),2),IF(B168&gt;$E$8,"",IF(U168&lt;&gt;U167,ROUND(SUM(W168*$E$9*F167/U168,X168*$E$9*F167/U167),2),ROUND(F167*$E$9*E168/U167,2))))</f>
        <v/>
      </c>
      <c r="I168" s="56" t="str">
        <f>IF(B167=$E$8,SUM($I$25:I167),IF(B167&gt;$E$8,"",G168+H168))</f>
        <v/>
      </c>
      <c r="J168" s="56" t="str">
        <f t="shared" si="61"/>
        <v/>
      </c>
      <c r="K168" s="56" t="str">
        <f t="shared" si="57"/>
        <v/>
      </c>
      <c r="L168" s="56"/>
      <c r="M168" s="56" t="str">
        <f t="shared" si="62"/>
        <v/>
      </c>
      <c r="N168" s="56" t="str">
        <f t="shared" si="58"/>
        <v/>
      </c>
      <c r="O168" s="56" t="str">
        <f t="shared" si="56"/>
        <v/>
      </c>
      <c r="Q168" s="59" t="str">
        <f>IF(B167=$E$8,XIRR(I$24:I167,D$24:D167),"")</f>
        <v/>
      </c>
      <c r="R168" s="56" t="str">
        <f t="shared" si="55"/>
        <v/>
      </c>
      <c r="S168" s="56">
        <f t="shared" si="49"/>
        <v>0</v>
      </c>
      <c r="T168" s="21" t="e">
        <f t="shared" ca="1" si="50"/>
        <v>#VALUE!</v>
      </c>
      <c r="U168" s="21" t="e">
        <f t="shared" ca="1" si="51"/>
        <v>#VALUE!</v>
      </c>
      <c r="V168" s="21" t="e">
        <f t="shared" ca="1" si="52"/>
        <v>#VALUE!</v>
      </c>
      <c r="W168" s="60" t="e">
        <f t="shared" ca="1" si="53"/>
        <v>#VALUE!</v>
      </c>
      <c r="X168" s="61" t="e">
        <f t="shared" ca="1" si="54"/>
        <v>#VALUE!</v>
      </c>
    </row>
    <row r="169" spans="2:24" x14ac:dyDescent="0.25">
      <c r="B169" s="58" t="str">
        <f t="shared" si="48"/>
        <v/>
      </c>
      <c r="C169" s="55" t="str">
        <f t="shared" si="60"/>
        <v/>
      </c>
      <c r="D169" s="55" t="str">
        <f t="shared" ca="1" si="46"/>
        <v xml:space="preserve"> </v>
      </c>
      <c r="E169" s="58" t="str">
        <f t="shared" si="47"/>
        <v/>
      </c>
      <c r="F169" s="56" t="str">
        <f t="shared" si="59"/>
        <v/>
      </c>
      <c r="G169" s="56" t="str">
        <f>IF(AND(B168="",B170=""),"",IF(B169="",ROUND(SUM($G$25:G168),2),IF(B169=$E$8,$F$24-ROUND(SUM($G$25:G168),2),ROUND($F$24/$E$8,2))))</f>
        <v/>
      </c>
      <c r="H169" s="56" t="str">
        <f>IF(B168=$E$8,ROUND(SUM($H$25:H168),2),IF(B169&gt;$E$8,"",IF(U169&lt;&gt;U168,ROUND(SUM(W169*$E$9*F168/U169,X169*$E$9*F168/U168),2),ROUND(F168*$E$9*E169/U168,2))))</f>
        <v/>
      </c>
      <c r="I169" s="56" t="str">
        <f>IF(B168=$E$8,SUM($I$25:I168),IF(B168&gt;$E$8,"",G169+H169))</f>
        <v/>
      </c>
      <c r="J169" s="56" t="str">
        <f t="shared" si="61"/>
        <v/>
      </c>
      <c r="K169" s="56" t="str">
        <f>IF($E$8&gt;B168,$O$9,IF($E$8=B168,SUM($K$24:K168)," "))</f>
        <v xml:space="preserve"> </v>
      </c>
      <c r="L169" s="56" t="str">
        <f>IF($E$8&gt;B168,($P$8+$O$10*F168),IF(B168=$E$8,$L$37+$L$24+$L$49+$L$61+$L$73+$L$85+$L$97+$L$109+$L$121+$L$133+$L$145+$L$157,""))</f>
        <v/>
      </c>
      <c r="M169" s="56" t="str">
        <f t="shared" si="62"/>
        <v/>
      </c>
      <c r="N169" s="56" t="str">
        <f t="shared" si="58"/>
        <v/>
      </c>
      <c r="O169" s="56" t="str">
        <f t="shared" si="56"/>
        <v/>
      </c>
      <c r="Q169" s="59" t="str">
        <f>IF(B168=$E$8,XIRR(I$24:I168,D$24:D168),"")</f>
        <v/>
      </c>
      <c r="R169" s="56" t="str">
        <f t="shared" si="55"/>
        <v/>
      </c>
      <c r="S169" s="56">
        <f t="shared" si="49"/>
        <v>0</v>
      </c>
      <c r="T169" s="21" t="e">
        <f t="shared" ca="1" si="50"/>
        <v>#VALUE!</v>
      </c>
      <c r="U169" s="21" t="e">
        <f t="shared" ca="1" si="51"/>
        <v>#VALUE!</v>
      </c>
      <c r="V169" s="21" t="e">
        <f t="shared" ca="1" si="52"/>
        <v>#VALUE!</v>
      </c>
      <c r="W169" s="60" t="e">
        <f t="shared" ca="1" si="53"/>
        <v>#VALUE!</v>
      </c>
      <c r="X169" s="61" t="e">
        <f t="shared" ca="1" si="54"/>
        <v>#VALUE!</v>
      </c>
    </row>
    <row r="170" spans="2:24" x14ac:dyDescent="0.25">
      <c r="B170" s="58" t="str">
        <f t="shared" si="48"/>
        <v/>
      </c>
      <c r="C170" s="55" t="str">
        <f t="shared" si="60"/>
        <v/>
      </c>
      <c r="D170" s="55" t="str">
        <f t="shared" ca="1" si="46"/>
        <v xml:space="preserve"> </v>
      </c>
      <c r="E170" s="58" t="str">
        <f t="shared" si="47"/>
        <v/>
      </c>
      <c r="F170" s="56" t="str">
        <f t="shared" si="59"/>
        <v/>
      </c>
      <c r="G170" s="56" t="str">
        <f>IF(AND(B169="",B171=""),"",IF(B170="",ROUND(SUM($G$25:G169),2),IF(B170=$E$8,$F$24-ROUND(SUM($G$25:G169),2),ROUND($F$24/$E$8,2))))</f>
        <v/>
      </c>
      <c r="H170" s="56" t="str">
        <f>IF(B169=$E$8,ROUND(SUM($H$25:H169),2),IF(B170&gt;$E$8,"",IF(U170&lt;&gt;U169,ROUND(SUM(W170*$E$9*F169/U170,X170*$E$9*F169/U169),2),ROUND(F169*$E$9*E170/U169,2))))</f>
        <v/>
      </c>
      <c r="I170" s="56" t="str">
        <f>IF(B169=$E$8,SUM($I$25:I169),IF(B169&gt;$E$8,"",G170+H170))</f>
        <v/>
      </c>
      <c r="J170" s="56" t="str">
        <f t="shared" si="61"/>
        <v/>
      </c>
      <c r="K170" s="56" t="str">
        <f t="shared" ref="K170:K180" si="63">IF(B169=$E$8,$K$24,"")</f>
        <v/>
      </c>
      <c r="L170" s="56"/>
      <c r="M170" s="56" t="str">
        <f t="shared" si="62"/>
        <v/>
      </c>
      <c r="N170" s="56" t="str">
        <f t="shared" si="58"/>
        <v/>
      </c>
      <c r="O170" s="56" t="str">
        <f t="shared" si="56"/>
        <v/>
      </c>
      <c r="Q170" s="59" t="str">
        <f>IF(B169=$E$8,XIRR(I$24:I169,D$24:D169),"")</f>
        <v/>
      </c>
      <c r="R170" s="56" t="str">
        <f t="shared" si="55"/>
        <v/>
      </c>
      <c r="S170" s="56">
        <f t="shared" si="49"/>
        <v>0</v>
      </c>
      <c r="T170" s="21" t="e">
        <f t="shared" ca="1" si="50"/>
        <v>#VALUE!</v>
      </c>
      <c r="U170" s="21" t="e">
        <f t="shared" ca="1" si="51"/>
        <v>#VALUE!</v>
      </c>
      <c r="V170" s="21" t="e">
        <f t="shared" ca="1" si="52"/>
        <v>#VALUE!</v>
      </c>
      <c r="W170" s="60" t="e">
        <f t="shared" ca="1" si="53"/>
        <v>#VALUE!</v>
      </c>
      <c r="X170" s="61" t="e">
        <f t="shared" ca="1" si="54"/>
        <v>#VALUE!</v>
      </c>
    </row>
    <row r="171" spans="2:24" x14ac:dyDescent="0.25">
      <c r="B171" s="58" t="str">
        <f t="shared" si="48"/>
        <v/>
      </c>
      <c r="C171" s="55" t="str">
        <f t="shared" si="60"/>
        <v/>
      </c>
      <c r="D171" s="55" t="str">
        <f t="shared" ca="1" si="46"/>
        <v xml:space="preserve"> </v>
      </c>
      <c r="E171" s="58" t="str">
        <f t="shared" si="47"/>
        <v/>
      </c>
      <c r="F171" s="56" t="str">
        <f t="shared" si="59"/>
        <v/>
      </c>
      <c r="G171" s="56" t="str">
        <f>IF(AND(B170="",B172=""),"",IF(B171="",ROUND(SUM($G$25:G170),2),IF(B171=$E$8,$F$24-ROUND(SUM($G$25:G170),2),ROUND($F$24/$E$8,2))))</f>
        <v/>
      </c>
      <c r="H171" s="56" t="str">
        <f>IF(B170=$E$8,ROUND(SUM($H$25:H170),2),IF(B171&gt;$E$8,"",IF(U171&lt;&gt;U170,ROUND(SUM(W171*$E$9*F170/U171,X171*$E$9*F170/U170),2),ROUND(F170*$E$9*E171/U170,2))))</f>
        <v/>
      </c>
      <c r="I171" s="56" t="str">
        <f>IF(B170=$E$8,SUM($I$25:I170),IF(B170&gt;$E$8,"",G171+H171))</f>
        <v/>
      </c>
      <c r="J171" s="56" t="str">
        <f t="shared" si="61"/>
        <v/>
      </c>
      <c r="K171" s="56" t="str">
        <f t="shared" si="63"/>
        <v/>
      </c>
      <c r="L171" s="56"/>
      <c r="M171" s="56" t="str">
        <f t="shared" si="62"/>
        <v/>
      </c>
      <c r="N171" s="56" t="str">
        <f t="shared" si="58"/>
        <v/>
      </c>
      <c r="O171" s="56" t="str">
        <f t="shared" si="56"/>
        <v/>
      </c>
      <c r="Q171" s="59" t="str">
        <f>IF(B170=$E$8,XIRR(I$24:I170,D$24:D170),"")</f>
        <v/>
      </c>
      <c r="R171" s="56" t="str">
        <f t="shared" si="55"/>
        <v/>
      </c>
      <c r="S171" s="56">
        <f t="shared" si="49"/>
        <v>0</v>
      </c>
      <c r="T171" s="21" t="e">
        <f t="shared" ca="1" si="50"/>
        <v>#VALUE!</v>
      </c>
      <c r="U171" s="21" t="e">
        <f t="shared" ca="1" si="51"/>
        <v>#VALUE!</v>
      </c>
      <c r="V171" s="21" t="e">
        <f t="shared" ca="1" si="52"/>
        <v>#VALUE!</v>
      </c>
      <c r="W171" s="60" t="e">
        <f t="shared" ca="1" si="53"/>
        <v>#VALUE!</v>
      </c>
      <c r="X171" s="61" t="e">
        <f t="shared" ca="1" si="54"/>
        <v>#VALUE!</v>
      </c>
    </row>
    <row r="172" spans="2:24" x14ac:dyDescent="0.25">
      <c r="B172" s="58" t="str">
        <f t="shared" si="48"/>
        <v/>
      </c>
      <c r="C172" s="55" t="str">
        <f t="shared" si="60"/>
        <v/>
      </c>
      <c r="D172" s="55" t="str">
        <f t="shared" ca="1" si="46"/>
        <v xml:space="preserve"> </v>
      </c>
      <c r="E172" s="58" t="str">
        <f t="shared" si="47"/>
        <v/>
      </c>
      <c r="F172" s="56" t="str">
        <f t="shared" si="59"/>
        <v/>
      </c>
      <c r="G172" s="56" t="str">
        <f>IF(AND(B171="",B173=""),"",IF(B172="",ROUND(SUM($G$25:G171),2),IF(B172=$E$8,$F$24-ROUND(SUM($G$25:G171),2),ROUND($F$24/$E$8,2))))</f>
        <v/>
      </c>
      <c r="H172" s="56" t="str">
        <f>IF(B171=$E$8,ROUND(SUM($H$25:H171),2),IF(B172&gt;$E$8,"",IF(U172&lt;&gt;U171,ROUND(SUM(W172*$E$9*F171/U172,X172*$E$9*F171/U171),2),ROUND(F171*$E$9*E172/U171,2))))</f>
        <v/>
      </c>
      <c r="I172" s="56" t="str">
        <f>IF(B171=$E$8,SUM($I$25:I171),IF(B171&gt;$E$8,"",G172+H172))</f>
        <v/>
      </c>
      <c r="J172" s="56" t="str">
        <f t="shared" si="61"/>
        <v/>
      </c>
      <c r="K172" s="56" t="str">
        <f t="shared" si="63"/>
        <v/>
      </c>
      <c r="L172" s="56"/>
      <c r="M172" s="56" t="str">
        <f t="shared" si="62"/>
        <v/>
      </c>
      <c r="N172" s="56" t="str">
        <f t="shared" si="58"/>
        <v/>
      </c>
      <c r="O172" s="56" t="str">
        <f t="shared" si="56"/>
        <v/>
      </c>
      <c r="Q172" s="59" t="str">
        <f>IF(B171=$E$8,XIRR(I$24:I171,D$24:D171),"")</f>
        <v/>
      </c>
      <c r="R172" s="56" t="str">
        <f t="shared" si="55"/>
        <v/>
      </c>
      <c r="S172" s="56">
        <f t="shared" si="49"/>
        <v>0</v>
      </c>
      <c r="T172" s="21" t="e">
        <f t="shared" ca="1" si="50"/>
        <v>#VALUE!</v>
      </c>
      <c r="U172" s="21" t="e">
        <f t="shared" ca="1" si="51"/>
        <v>#VALUE!</v>
      </c>
      <c r="V172" s="21" t="e">
        <f t="shared" ca="1" si="52"/>
        <v>#VALUE!</v>
      </c>
      <c r="W172" s="60" t="e">
        <f t="shared" ca="1" si="53"/>
        <v>#VALUE!</v>
      </c>
      <c r="X172" s="61" t="e">
        <f t="shared" ca="1" si="54"/>
        <v>#VALUE!</v>
      </c>
    </row>
    <row r="173" spans="2:24" x14ac:dyDescent="0.25">
      <c r="B173" s="58" t="str">
        <f t="shared" si="48"/>
        <v/>
      </c>
      <c r="C173" s="55" t="str">
        <f t="shared" si="60"/>
        <v/>
      </c>
      <c r="D173" s="55" t="str">
        <f t="shared" ca="1" si="46"/>
        <v xml:space="preserve"> </v>
      </c>
      <c r="E173" s="58" t="str">
        <f t="shared" si="47"/>
        <v/>
      </c>
      <c r="F173" s="56" t="str">
        <f t="shared" si="59"/>
        <v/>
      </c>
      <c r="G173" s="56" t="str">
        <f>IF(AND(B172="",B174=""),"",IF(B173="",ROUND(SUM($G$25:G172),2),IF(B173=$E$8,$F$24-ROUND(SUM($G$25:G172),2),ROUND($F$24/$E$8,2))))</f>
        <v/>
      </c>
      <c r="H173" s="56" t="str">
        <f>IF(B172=$E$8,ROUND(SUM($H$25:H172),2),IF(B173&gt;$E$8,"",IF(U173&lt;&gt;U172,ROUND(SUM(W173*$E$9*F172/U173,X173*$E$9*F172/U172),2),ROUND(F172*$E$9*E173/U172,2))))</f>
        <v/>
      </c>
      <c r="I173" s="56" t="str">
        <f>IF(B172=$E$8,SUM($I$25:I172),IF(B172&gt;$E$8,"",G173+H173))</f>
        <v/>
      </c>
      <c r="J173" s="56" t="str">
        <f t="shared" si="61"/>
        <v/>
      </c>
      <c r="K173" s="56" t="str">
        <f t="shared" si="63"/>
        <v/>
      </c>
      <c r="L173" s="56"/>
      <c r="M173" s="56" t="str">
        <f t="shared" si="62"/>
        <v/>
      </c>
      <c r="N173" s="56" t="str">
        <f t="shared" si="58"/>
        <v/>
      </c>
      <c r="O173" s="56" t="str">
        <f t="shared" si="56"/>
        <v/>
      </c>
      <c r="Q173" s="59" t="str">
        <f>IF(B172=$E$8,XIRR(I$24:I172,D$24:D172),"")</f>
        <v/>
      </c>
      <c r="R173" s="56" t="str">
        <f t="shared" si="55"/>
        <v/>
      </c>
      <c r="S173" s="56">
        <f t="shared" si="49"/>
        <v>0</v>
      </c>
      <c r="T173" s="21" t="e">
        <f t="shared" ca="1" si="50"/>
        <v>#VALUE!</v>
      </c>
      <c r="U173" s="21" t="e">
        <f t="shared" ca="1" si="51"/>
        <v>#VALUE!</v>
      </c>
      <c r="V173" s="21" t="e">
        <f t="shared" ca="1" si="52"/>
        <v>#VALUE!</v>
      </c>
      <c r="W173" s="60" t="e">
        <f t="shared" ca="1" si="53"/>
        <v>#VALUE!</v>
      </c>
      <c r="X173" s="61" t="e">
        <f t="shared" ca="1" si="54"/>
        <v>#VALUE!</v>
      </c>
    </row>
    <row r="174" spans="2:24" x14ac:dyDescent="0.25">
      <c r="B174" s="58" t="str">
        <f t="shared" si="48"/>
        <v/>
      </c>
      <c r="C174" s="55" t="str">
        <f t="shared" si="60"/>
        <v/>
      </c>
      <c r="D174" s="55" t="str">
        <f t="shared" ca="1" si="46"/>
        <v xml:space="preserve"> </v>
      </c>
      <c r="E174" s="58" t="str">
        <f t="shared" si="47"/>
        <v/>
      </c>
      <c r="F174" s="56" t="str">
        <f t="shared" si="59"/>
        <v/>
      </c>
      <c r="G174" s="56" t="str">
        <f>IF(AND(B173="",B175=""),"",IF(B174="",ROUND(SUM($G$25:G173),2),IF(B174=$E$8,$F$24-ROUND(SUM($G$25:G173),2),ROUND($F$24/$E$8,2))))</f>
        <v/>
      </c>
      <c r="H174" s="56" t="str">
        <f>IF(B173=$E$8,ROUND(SUM($H$25:H173),2),IF(B174&gt;$E$8,"",IF(U174&lt;&gt;U173,ROUND(SUM(W174*$E$9*F173/U174,X174*$E$9*F173/U173),2),ROUND(F173*$E$9*E174/U173,2))))</f>
        <v/>
      </c>
      <c r="I174" s="56" t="str">
        <f>IF(B173=$E$8,SUM($I$25:I173),IF(B173&gt;$E$8,"",G174+H174))</f>
        <v/>
      </c>
      <c r="J174" s="56" t="str">
        <f t="shared" si="61"/>
        <v/>
      </c>
      <c r="K174" s="56" t="str">
        <f t="shared" si="63"/>
        <v/>
      </c>
      <c r="L174" s="56"/>
      <c r="M174" s="56" t="str">
        <f t="shared" si="62"/>
        <v/>
      </c>
      <c r="N174" s="56" t="str">
        <f t="shared" si="58"/>
        <v/>
      </c>
      <c r="O174" s="56" t="str">
        <f t="shared" si="56"/>
        <v/>
      </c>
      <c r="Q174" s="59" t="str">
        <f>IF(B173=$E$8,XIRR(I$24:I173,D$24:D173),"")</f>
        <v/>
      </c>
      <c r="R174" s="56" t="str">
        <f t="shared" si="55"/>
        <v/>
      </c>
      <c r="S174" s="56">
        <f t="shared" si="49"/>
        <v>0</v>
      </c>
      <c r="T174" s="21" t="e">
        <f t="shared" ca="1" si="50"/>
        <v>#VALUE!</v>
      </c>
      <c r="U174" s="21" t="e">
        <f t="shared" ca="1" si="51"/>
        <v>#VALUE!</v>
      </c>
      <c r="V174" s="21" t="e">
        <f t="shared" ca="1" si="52"/>
        <v>#VALUE!</v>
      </c>
      <c r="W174" s="60" t="e">
        <f t="shared" ca="1" si="53"/>
        <v>#VALUE!</v>
      </c>
      <c r="X174" s="61" t="e">
        <f t="shared" ca="1" si="54"/>
        <v>#VALUE!</v>
      </c>
    </row>
    <row r="175" spans="2:24" x14ac:dyDescent="0.25">
      <c r="B175" s="58" t="str">
        <f t="shared" si="48"/>
        <v/>
      </c>
      <c r="C175" s="55" t="str">
        <f t="shared" si="60"/>
        <v/>
      </c>
      <c r="D175" s="55" t="str">
        <f t="shared" ca="1" si="46"/>
        <v xml:space="preserve"> </v>
      </c>
      <c r="E175" s="58" t="str">
        <f t="shared" si="47"/>
        <v/>
      </c>
      <c r="F175" s="56" t="str">
        <f t="shared" si="59"/>
        <v/>
      </c>
      <c r="G175" s="56" t="str">
        <f>IF(AND(B174="",B176=""),"",IF(B175="",ROUND(SUM($G$25:G174),2),IF(B175=$E$8,$F$24-ROUND(SUM($G$25:G174),2),ROUND($F$24/$E$8,2))))</f>
        <v/>
      </c>
      <c r="H175" s="56" t="str">
        <f>IF(B174=$E$8,ROUND(SUM($H$25:H174),2),IF(B175&gt;$E$8,"",IF(U175&lt;&gt;U174,ROUND(SUM(W175*$E$9*F174/U175,X175*$E$9*F174/U174),2),ROUND(F174*$E$9*E175/U174,2))))</f>
        <v/>
      </c>
      <c r="I175" s="56" t="str">
        <f>IF(B174=$E$8,SUM($I$25:I174),IF(B174&gt;$E$8,"",G175+H175))</f>
        <v/>
      </c>
      <c r="J175" s="56" t="str">
        <f t="shared" si="61"/>
        <v/>
      </c>
      <c r="K175" s="56" t="str">
        <f t="shared" si="63"/>
        <v/>
      </c>
      <c r="L175" s="56"/>
      <c r="M175" s="56" t="str">
        <f t="shared" si="62"/>
        <v/>
      </c>
      <c r="N175" s="56" t="str">
        <f t="shared" si="58"/>
        <v/>
      </c>
      <c r="O175" s="56" t="str">
        <f t="shared" si="56"/>
        <v/>
      </c>
      <c r="Q175" s="59" t="str">
        <f>IF(B174=$E$8,XIRR(I$24:I174,D$24:D174),"")</f>
        <v/>
      </c>
      <c r="R175" s="56" t="str">
        <f t="shared" si="55"/>
        <v/>
      </c>
      <c r="S175" s="56">
        <f t="shared" si="49"/>
        <v>0</v>
      </c>
      <c r="T175" s="21" t="e">
        <f t="shared" ca="1" si="50"/>
        <v>#VALUE!</v>
      </c>
      <c r="U175" s="21" t="e">
        <f t="shared" ca="1" si="51"/>
        <v>#VALUE!</v>
      </c>
      <c r="V175" s="21" t="e">
        <f t="shared" ca="1" si="52"/>
        <v>#VALUE!</v>
      </c>
      <c r="W175" s="60" t="e">
        <f t="shared" ca="1" si="53"/>
        <v>#VALUE!</v>
      </c>
      <c r="X175" s="61" t="e">
        <f t="shared" ca="1" si="54"/>
        <v>#VALUE!</v>
      </c>
    </row>
    <row r="176" spans="2:24" x14ac:dyDescent="0.25">
      <c r="B176" s="58" t="str">
        <f t="shared" si="48"/>
        <v/>
      </c>
      <c r="C176" s="55" t="str">
        <f t="shared" si="60"/>
        <v/>
      </c>
      <c r="D176" s="55" t="str">
        <f t="shared" ca="1" si="46"/>
        <v xml:space="preserve"> </v>
      </c>
      <c r="E176" s="58" t="str">
        <f t="shared" si="47"/>
        <v/>
      </c>
      <c r="F176" s="56" t="str">
        <f t="shared" si="59"/>
        <v/>
      </c>
      <c r="G176" s="56" t="str">
        <f>IF(AND(B175="",B177=""),"",IF(B176="",ROUND(SUM($G$25:G175),2),IF(B176=$E$8,$F$24-ROUND(SUM($G$25:G175),2),ROUND($F$24/$E$8,2))))</f>
        <v/>
      </c>
      <c r="H176" s="56" t="str">
        <f>IF(B175=$E$8,ROUND(SUM($H$25:H175),2),IF(B176&gt;$E$8,"",IF(U176&lt;&gt;U175,ROUND(SUM(W176*$E$9*F175/U176,X176*$E$9*F175/U175),2),ROUND(F175*$E$9*E176/U175,2))))</f>
        <v/>
      </c>
      <c r="I176" s="56" t="str">
        <f>IF(B175=$E$8,SUM($I$25:I175),IF(B175&gt;$E$8,"",G176+H176))</f>
        <v/>
      </c>
      <c r="J176" s="56" t="str">
        <f t="shared" si="61"/>
        <v/>
      </c>
      <c r="K176" s="56" t="str">
        <f t="shared" si="63"/>
        <v/>
      </c>
      <c r="L176" s="56"/>
      <c r="M176" s="56" t="str">
        <f t="shared" si="62"/>
        <v/>
      </c>
      <c r="N176" s="56" t="str">
        <f t="shared" si="58"/>
        <v/>
      </c>
      <c r="O176" s="56" t="str">
        <f t="shared" si="56"/>
        <v/>
      </c>
      <c r="Q176" s="59" t="str">
        <f>IF(B175=$E$8,XIRR(I$24:I175,D$24:D175),"")</f>
        <v/>
      </c>
      <c r="R176" s="56" t="str">
        <f t="shared" si="55"/>
        <v/>
      </c>
      <c r="S176" s="56">
        <f t="shared" si="49"/>
        <v>0</v>
      </c>
      <c r="T176" s="21" t="e">
        <f t="shared" ca="1" si="50"/>
        <v>#VALUE!</v>
      </c>
      <c r="U176" s="21" t="e">
        <f t="shared" ca="1" si="51"/>
        <v>#VALUE!</v>
      </c>
      <c r="V176" s="21" t="e">
        <f t="shared" ca="1" si="52"/>
        <v>#VALUE!</v>
      </c>
      <c r="W176" s="60" t="e">
        <f t="shared" ca="1" si="53"/>
        <v>#VALUE!</v>
      </c>
      <c r="X176" s="61" t="e">
        <f t="shared" ca="1" si="54"/>
        <v>#VALUE!</v>
      </c>
    </row>
    <row r="177" spans="2:24" x14ac:dyDescent="0.25">
      <c r="B177" s="58" t="str">
        <f t="shared" si="48"/>
        <v/>
      </c>
      <c r="C177" s="55" t="str">
        <f t="shared" si="60"/>
        <v/>
      </c>
      <c r="D177" s="55" t="str">
        <f t="shared" ca="1" si="46"/>
        <v xml:space="preserve"> </v>
      </c>
      <c r="E177" s="58" t="str">
        <f t="shared" si="47"/>
        <v/>
      </c>
      <c r="F177" s="56" t="str">
        <f t="shared" si="59"/>
        <v/>
      </c>
      <c r="G177" s="56" t="str">
        <f>IF(AND(B176="",B178=""),"",IF(B177="",ROUND(SUM($G$25:G176),2),IF(B177=$E$8,$F$24-ROUND(SUM($G$25:G176),2),ROUND($F$24/$E$8,2))))</f>
        <v/>
      </c>
      <c r="H177" s="56" t="str">
        <f>IF(B176=$E$8,ROUND(SUM($H$25:H176),2),IF(B177&gt;$E$8,"",IF(U177&lt;&gt;U176,ROUND(SUM(W177*$E$9*F176/U177,X177*$E$9*F176/U176),2),ROUND(F176*$E$9*E177/U176,2))))</f>
        <v/>
      </c>
      <c r="I177" s="56" t="str">
        <f>IF(B176=$E$8,SUM($I$25:I176),IF(B176&gt;$E$8,"",G177+H177))</f>
        <v/>
      </c>
      <c r="J177" s="56" t="str">
        <f t="shared" si="61"/>
        <v/>
      </c>
      <c r="K177" s="56" t="str">
        <f t="shared" si="63"/>
        <v/>
      </c>
      <c r="L177" s="56"/>
      <c r="M177" s="56" t="str">
        <f t="shared" si="62"/>
        <v/>
      </c>
      <c r="N177" s="56" t="str">
        <f t="shared" si="58"/>
        <v/>
      </c>
      <c r="O177" s="56" t="str">
        <f t="shared" si="56"/>
        <v/>
      </c>
      <c r="Q177" s="59" t="str">
        <f>IF(B176=$E$8,XIRR(I$24:I176,D$24:D176),"")</f>
        <v/>
      </c>
      <c r="R177" s="56" t="str">
        <f t="shared" si="55"/>
        <v/>
      </c>
      <c r="S177" s="56">
        <f t="shared" si="49"/>
        <v>0</v>
      </c>
      <c r="T177" s="21" t="e">
        <f t="shared" ca="1" si="50"/>
        <v>#VALUE!</v>
      </c>
      <c r="U177" s="21" t="e">
        <f t="shared" ca="1" si="51"/>
        <v>#VALUE!</v>
      </c>
      <c r="V177" s="21" t="e">
        <f t="shared" ca="1" si="52"/>
        <v>#VALUE!</v>
      </c>
      <c r="W177" s="60" t="e">
        <f t="shared" ca="1" si="53"/>
        <v>#VALUE!</v>
      </c>
      <c r="X177" s="61" t="e">
        <f t="shared" ca="1" si="54"/>
        <v>#VALUE!</v>
      </c>
    </row>
    <row r="178" spans="2:24" x14ac:dyDescent="0.25">
      <c r="B178" s="58" t="str">
        <f t="shared" si="48"/>
        <v/>
      </c>
      <c r="C178" s="55" t="str">
        <f t="shared" si="60"/>
        <v/>
      </c>
      <c r="D178" s="55" t="str">
        <f t="shared" ca="1" si="46"/>
        <v xml:space="preserve"> </v>
      </c>
      <c r="E178" s="58" t="str">
        <f t="shared" si="47"/>
        <v/>
      </c>
      <c r="F178" s="56" t="str">
        <f t="shared" si="59"/>
        <v/>
      </c>
      <c r="G178" s="56" t="str">
        <f>IF(AND(B177="",B179=""),"",IF(B178="",ROUND(SUM($G$25:G177),2),IF(B178=$E$8,$F$24-ROUND(SUM($G$25:G177),2),ROUND($F$24/$E$8,2))))</f>
        <v/>
      </c>
      <c r="H178" s="56" t="str">
        <f>IF(B177=$E$8,ROUND(SUM($H$25:H177),2),IF(B178&gt;$E$8,"",IF(U178&lt;&gt;U177,ROUND(SUM(W178*$E$9*F177/U178,X178*$E$9*F177/U177),2),ROUND(F177*$E$9*E178/U177,2))))</f>
        <v/>
      </c>
      <c r="I178" s="56" t="str">
        <f>IF(B177=$E$8,SUM($I$25:I177),IF(B177&gt;$E$8,"",G178+H178))</f>
        <v/>
      </c>
      <c r="J178" s="56" t="str">
        <f t="shared" si="61"/>
        <v/>
      </c>
      <c r="K178" s="56" t="str">
        <f t="shared" si="63"/>
        <v/>
      </c>
      <c r="L178" s="56"/>
      <c r="M178" s="56" t="str">
        <f t="shared" si="62"/>
        <v/>
      </c>
      <c r="N178" s="56" t="str">
        <f t="shared" si="58"/>
        <v/>
      </c>
      <c r="O178" s="56" t="str">
        <f t="shared" si="56"/>
        <v/>
      </c>
      <c r="Q178" s="59" t="str">
        <f>IF(B177=$E$8,XIRR(I$24:I177,D$24:D177),"")</f>
        <v/>
      </c>
      <c r="R178" s="56" t="str">
        <f t="shared" si="55"/>
        <v/>
      </c>
      <c r="S178" s="56">
        <f t="shared" si="49"/>
        <v>0</v>
      </c>
      <c r="T178" s="21" t="e">
        <f t="shared" ca="1" si="50"/>
        <v>#VALUE!</v>
      </c>
      <c r="U178" s="21" t="e">
        <f t="shared" ca="1" si="51"/>
        <v>#VALUE!</v>
      </c>
      <c r="V178" s="21" t="e">
        <f t="shared" ca="1" si="52"/>
        <v>#VALUE!</v>
      </c>
      <c r="W178" s="60" t="e">
        <f t="shared" ca="1" si="53"/>
        <v>#VALUE!</v>
      </c>
      <c r="X178" s="61" t="e">
        <f t="shared" ca="1" si="54"/>
        <v>#VALUE!</v>
      </c>
    </row>
    <row r="179" spans="2:24" x14ac:dyDescent="0.25">
      <c r="B179" s="58" t="str">
        <f t="shared" si="48"/>
        <v/>
      </c>
      <c r="C179" s="55" t="str">
        <f t="shared" si="60"/>
        <v/>
      </c>
      <c r="D179" s="55" t="str">
        <f t="shared" ca="1" si="46"/>
        <v xml:space="preserve"> </v>
      </c>
      <c r="E179" s="58" t="str">
        <f t="shared" si="47"/>
        <v/>
      </c>
      <c r="F179" s="56" t="str">
        <f t="shared" si="59"/>
        <v/>
      </c>
      <c r="G179" s="56" t="str">
        <f>IF(AND(B178="",B180=""),"",IF(B179="",ROUND(SUM($G$25:G178),2),IF(B179=$E$8,$F$24-ROUND(SUM($G$25:G178),2),ROUND($F$24/$E$8,2))))</f>
        <v/>
      </c>
      <c r="H179" s="56" t="str">
        <f>IF(B178=$E$8,ROUND(SUM($H$25:H178),2),IF(B179&gt;$E$8,"",IF(U179&lt;&gt;U178,ROUND(SUM(W179*$E$9*F178/U179,X179*$E$9*F178/U178),2),ROUND(F178*$E$9*E179/U178,2))))</f>
        <v/>
      </c>
      <c r="I179" s="56" t="str">
        <f>IF(B178=$E$8,SUM($I$25:I178),IF(B178&gt;$E$8,"",G179+H179))</f>
        <v/>
      </c>
      <c r="J179" s="56" t="str">
        <f t="shared" si="61"/>
        <v/>
      </c>
      <c r="K179" s="56" t="str">
        <f t="shared" si="63"/>
        <v/>
      </c>
      <c r="L179" s="56"/>
      <c r="M179" s="56" t="str">
        <f t="shared" si="62"/>
        <v/>
      </c>
      <c r="N179" s="56" t="str">
        <f t="shared" si="58"/>
        <v/>
      </c>
      <c r="O179" s="56" t="str">
        <f t="shared" si="56"/>
        <v/>
      </c>
      <c r="Q179" s="59" t="str">
        <f>IF(B178=$E$8,XIRR(I$24:I178,D$24:D178),"")</f>
        <v/>
      </c>
      <c r="R179" s="56" t="str">
        <f t="shared" si="55"/>
        <v/>
      </c>
      <c r="S179" s="56">
        <f t="shared" si="49"/>
        <v>0</v>
      </c>
      <c r="T179" s="21" t="e">
        <f t="shared" ca="1" si="50"/>
        <v>#VALUE!</v>
      </c>
      <c r="U179" s="21" t="e">
        <f t="shared" ca="1" si="51"/>
        <v>#VALUE!</v>
      </c>
      <c r="V179" s="21" t="e">
        <f t="shared" ca="1" si="52"/>
        <v>#VALUE!</v>
      </c>
      <c r="W179" s="60" t="e">
        <f t="shared" ca="1" si="53"/>
        <v>#VALUE!</v>
      </c>
      <c r="X179" s="61" t="e">
        <f t="shared" ca="1" si="54"/>
        <v>#VALUE!</v>
      </c>
    </row>
    <row r="180" spans="2:24" x14ac:dyDescent="0.25">
      <c r="B180" s="58" t="str">
        <f t="shared" si="48"/>
        <v/>
      </c>
      <c r="C180" s="55" t="str">
        <f t="shared" si="60"/>
        <v/>
      </c>
      <c r="D180" s="55" t="str">
        <f t="shared" ca="1" si="46"/>
        <v xml:space="preserve"> </v>
      </c>
      <c r="E180" s="58" t="str">
        <f t="shared" si="47"/>
        <v/>
      </c>
      <c r="F180" s="56" t="str">
        <f t="shared" si="59"/>
        <v/>
      </c>
      <c r="G180" s="56" t="str">
        <f>IF(AND(B179="",B181=""),"",IF(B180="",ROUND(SUM($G$25:G179),2),IF(B180=$E$8,$F$24-ROUND(SUM($G$25:G179),2),ROUND($F$24/$E$8,2))))</f>
        <v/>
      </c>
      <c r="H180" s="56" t="str">
        <f>IF(B179=$E$8,ROUND(SUM($H$25:H179),2),IF(B180&gt;$E$8,"",IF(U180&lt;&gt;U179,ROUND(SUM(W180*$E$9*F179/U180,X180*$E$9*F179/U179),2),ROUND(F179*$E$9*E180/U179,2))))</f>
        <v/>
      </c>
      <c r="I180" s="56" t="str">
        <f>IF(B179=$E$8,SUM($I$25:I179),IF(B179&gt;$E$8,"",G180+H180))</f>
        <v/>
      </c>
      <c r="J180" s="56" t="str">
        <f t="shared" si="61"/>
        <v/>
      </c>
      <c r="K180" s="56" t="str">
        <f t="shared" si="63"/>
        <v/>
      </c>
      <c r="L180" s="56"/>
      <c r="M180" s="56" t="str">
        <f t="shared" si="62"/>
        <v/>
      </c>
      <c r="N180" s="56" t="str">
        <f t="shared" si="58"/>
        <v/>
      </c>
      <c r="O180" s="56" t="str">
        <f t="shared" si="56"/>
        <v/>
      </c>
      <c r="Q180" s="59" t="str">
        <f>IF(B179=$E$8,XIRR(I$24:I179,D$24:D179),"")</f>
        <v/>
      </c>
      <c r="R180" s="56" t="str">
        <f t="shared" si="55"/>
        <v/>
      </c>
      <c r="S180" s="56">
        <f t="shared" si="49"/>
        <v>0</v>
      </c>
      <c r="T180" s="21" t="e">
        <f t="shared" ca="1" si="50"/>
        <v>#VALUE!</v>
      </c>
      <c r="U180" s="21" t="e">
        <f t="shared" ca="1" si="51"/>
        <v>#VALUE!</v>
      </c>
      <c r="V180" s="21" t="e">
        <f t="shared" ca="1" si="52"/>
        <v>#VALUE!</v>
      </c>
      <c r="W180" s="60" t="e">
        <f t="shared" ca="1" si="53"/>
        <v>#VALUE!</v>
      </c>
      <c r="X180" s="61" t="e">
        <f t="shared" ca="1" si="54"/>
        <v>#VALUE!</v>
      </c>
    </row>
    <row r="181" spans="2:24" x14ac:dyDescent="0.25">
      <c r="B181" s="58" t="str">
        <f t="shared" si="48"/>
        <v/>
      </c>
      <c r="C181" s="55" t="str">
        <f t="shared" si="60"/>
        <v/>
      </c>
      <c r="D181" s="55" t="str">
        <f t="shared" ca="1" si="46"/>
        <v xml:space="preserve"> </v>
      </c>
      <c r="E181" s="58" t="str">
        <f t="shared" si="47"/>
        <v/>
      </c>
      <c r="F181" s="56" t="str">
        <f t="shared" si="59"/>
        <v/>
      </c>
      <c r="G181" s="56" t="str">
        <f>IF(AND(B180="",B182=""),"",IF(B181="",ROUND(SUM($G$25:G180),2),IF(B181=$E$8,$F$24-ROUND(SUM($G$25:G180),2),ROUND($F$24/$E$8,2))))</f>
        <v/>
      </c>
      <c r="H181" s="56" t="str">
        <f>IF(B180=$E$8,ROUND(SUM($H$25:H180),2),IF(B181&gt;$E$8,"",IF(U181&lt;&gt;U180,ROUND(SUM(W181*$E$9*F180/U181,X181*$E$9*F180/U180),2),ROUND(F180*$E$9*E181/U180,2))))</f>
        <v/>
      </c>
      <c r="I181" s="56" t="str">
        <f>IF(B180=$E$8,SUM($I$25:I180),IF(B180&gt;$E$8,"",G181+H181))</f>
        <v/>
      </c>
      <c r="J181" s="56" t="str">
        <f t="shared" si="61"/>
        <v/>
      </c>
      <c r="K181" s="56" t="str">
        <f>IF($E$8&gt;B180,$O$9,IF($E$8=B180,SUM($K$24:K180)," "))</f>
        <v xml:space="preserve"> </v>
      </c>
      <c r="L181" s="56" t="str">
        <f>IF($E$8&gt;B180,($P$8+$O$10*F180),IF(B180=$E$8,$L$37+$L$24+$L$49+$L$61+$L$73+$L$85+$L$97+$L$109+$L$121+$L$133+$L$145+$L$157+$L$169,""))</f>
        <v/>
      </c>
      <c r="M181" s="56" t="str">
        <f t="shared" si="62"/>
        <v/>
      </c>
      <c r="N181" s="56" t="str">
        <f t="shared" si="58"/>
        <v/>
      </c>
      <c r="O181" s="56" t="str">
        <f t="shared" si="56"/>
        <v/>
      </c>
      <c r="Q181" s="59" t="str">
        <f>IF(B180=$E$8,XIRR(I$24:I180,D$24:D180),"")</f>
        <v/>
      </c>
      <c r="R181" s="56" t="str">
        <f t="shared" si="55"/>
        <v/>
      </c>
      <c r="S181" s="56">
        <f t="shared" si="49"/>
        <v>0</v>
      </c>
      <c r="T181" s="21" t="e">
        <f t="shared" ca="1" si="50"/>
        <v>#VALUE!</v>
      </c>
      <c r="U181" s="21" t="e">
        <f t="shared" ca="1" si="51"/>
        <v>#VALUE!</v>
      </c>
      <c r="V181" s="21" t="e">
        <f t="shared" ca="1" si="52"/>
        <v>#VALUE!</v>
      </c>
      <c r="W181" s="60" t="e">
        <f t="shared" ca="1" si="53"/>
        <v>#VALUE!</v>
      </c>
      <c r="X181" s="61" t="e">
        <f t="shared" ca="1" si="54"/>
        <v>#VALUE!</v>
      </c>
    </row>
    <row r="182" spans="2:24" x14ac:dyDescent="0.25">
      <c r="B182" s="58" t="str">
        <f t="shared" si="48"/>
        <v/>
      </c>
      <c r="C182" s="55" t="str">
        <f t="shared" si="60"/>
        <v/>
      </c>
      <c r="D182" s="55" t="str">
        <f t="shared" ca="1" si="46"/>
        <v xml:space="preserve"> </v>
      </c>
      <c r="E182" s="58" t="str">
        <f t="shared" si="47"/>
        <v/>
      </c>
      <c r="F182" s="56" t="str">
        <f t="shared" si="59"/>
        <v/>
      </c>
      <c r="G182" s="56" t="str">
        <f>IF(AND(B181="",B183=""),"",IF(B182="",ROUND(SUM($G$25:G181),2),IF(B182=$E$8,$F$24-ROUND(SUM($G$25:G181),2),ROUND($F$24/$E$8,2))))</f>
        <v/>
      </c>
      <c r="H182" s="56" t="str">
        <f>IF(B181=$E$8,ROUND(SUM($H$25:H181),2),IF(B182&gt;$E$8,"",IF(U182&lt;&gt;U181,ROUND(SUM(W182*$E$9*F181/U182,X182*$E$9*F181/U181),2),ROUND(F181*$E$9*E182/U181,2))))</f>
        <v/>
      </c>
      <c r="I182" s="56" t="str">
        <f>IF(B181=$E$8,SUM($I$25:I181),IF(B181&gt;$E$8,"",G182+H182))</f>
        <v/>
      </c>
      <c r="J182" s="56" t="str">
        <f t="shared" si="61"/>
        <v/>
      </c>
      <c r="K182" s="56" t="str">
        <f t="shared" ref="K182:K192" si="64">IF(B181=$E$8,$K$24,"")</f>
        <v/>
      </c>
      <c r="L182" s="56"/>
      <c r="M182" s="56" t="str">
        <f t="shared" si="62"/>
        <v/>
      </c>
      <c r="N182" s="56" t="str">
        <f t="shared" si="58"/>
        <v/>
      </c>
      <c r="O182" s="56" t="str">
        <f t="shared" si="56"/>
        <v/>
      </c>
      <c r="Q182" s="59" t="str">
        <f>IF(B181=$E$8,XIRR(I$24:I181,D$24:D181),"")</f>
        <v/>
      </c>
      <c r="R182" s="56" t="str">
        <f t="shared" si="55"/>
        <v/>
      </c>
      <c r="S182" s="56">
        <f t="shared" si="49"/>
        <v>0</v>
      </c>
      <c r="T182" s="21" t="e">
        <f t="shared" ca="1" si="50"/>
        <v>#VALUE!</v>
      </c>
      <c r="U182" s="21" t="e">
        <f t="shared" ca="1" si="51"/>
        <v>#VALUE!</v>
      </c>
      <c r="V182" s="21" t="e">
        <f t="shared" ca="1" si="52"/>
        <v>#VALUE!</v>
      </c>
      <c r="W182" s="60" t="e">
        <f t="shared" ca="1" si="53"/>
        <v>#VALUE!</v>
      </c>
      <c r="X182" s="61" t="e">
        <f t="shared" ca="1" si="54"/>
        <v>#VALUE!</v>
      </c>
    </row>
    <row r="183" spans="2:24" x14ac:dyDescent="0.25">
      <c r="B183" s="58" t="str">
        <f t="shared" si="48"/>
        <v/>
      </c>
      <c r="C183" s="55" t="str">
        <f t="shared" si="60"/>
        <v/>
      </c>
      <c r="D183" s="55" t="str">
        <f t="shared" ca="1" si="46"/>
        <v xml:space="preserve"> </v>
      </c>
      <c r="E183" s="58" t="str">
        <f t="shared" si="47"/>
        <v/>
      </c>
      <c r="F183" s="56" t="str">
        <f t="shared" si="59"/>
        <v/>
      </c>
      <c r="G183" s="56" t="str">
        <f>IF(AND(B182="",B184=""),"",IF(B183="",ROUND(SUM($G$25:G182),2),IF(B183=$E$8,$F$24-ROUND(SUM($G$25:G182),2),ROUND($F$24/$E$8,2))))</f>
        <v/>
      </c>
      <c r="H183" s="56" t="str">
        <f>IF(B182=$E$8,ROUND(SUM($H$25:H182),2),IF(B183&gt;$E$8,"",IF(U183&lt;&gt;U182,ROUND(SUM(W183*$E$9*F182/U183,X183*$E$9*F182/U182),2),ROUND(F182*$E$9*E183/U182,2))))</f>
        <v/>
      </c>
      <c r="I183" s="56" t="str">
        <f>IF(B182=$E$8,SUM($I$25:I182),IF(B182&gt;$E$8,"",G183+H183))</f>
        <v/>
      </c>
      <c r="J183" s="56" t="str">
        <f t="shared" si="61"/>
        <v/>
      </c>
      <c r="K183" s="56" t="str">
        <f t="shared" si="64"/>
        <v/>
      </c>
      <c r="L183" s="56"/>
      <c r="M183" s="56" t="str">
        <f t="shared" si="62"/>
        <v/>
      </c>
      <c r="N183" s="56" t="str">
        <f t="shared" si="58"/>
        <v/>
      </c>
      <c r="O183" s="56" t="str">
        <f t="shared" si="56"/>
        <v/>
      </c>
      <c r="Q183" s="59" t="str">
        <f>IF(B182=$E$8,XIRR(I$24:I182,D$24:D182),"")</f>
        <v/>
      </c>
      <c r="R183" s="56" t="str">
        <f t="shared" si="55"/>
        <v/>
      </c>
      <c r="S183" s="56">
        <f t="shared" si="49"/>
        <v>0</v>
      </c>
      <c r="T183" s="21" t="e">
        <f t="shared" ca="1" si="50"/>
        <v>#VALUE!</v>
      </c>
      <c r="U183" s="21" t="e">
        <f t="shared" ca="1" si="51"/>
        <v>#VALUE!</v>
      </c>
      <c r="V183" s="21" t="e">
        <f t="shared" ca="1" si="52"/>
        <v>#VALUE!</v>
      </c>
      <c r="W183" s="60" t="e">
        <f t="shared" ca="1" si="53"/>
        <v>#VALUE!</v>
      </c>
      <c r="X183" s="61" t="e">
        <f t="shared" ca="1" si="54"/>
        <v>#VALUE!</v>
      </c>
    </row>
    <row r="184" spans="2:24" x14ac:dyDescent="0.25">
      <c r="B184" s="58" t="str">
        <f t="shared" si="48"/>
        <v/>
      </c>
      <c r="C184" s="55" t="str">
        <f t="shared" si="60"/>
        <v/>
      </c>
      <c r="D184" s="55" t="str">
        <f t="shared" ca="1" si="46"/>
        <v xml:space="preserve"> </v>
      </c>
      <c r="E184" s="58" t="str">
        <f t="shared" si="47"/>
        <v/>
      </c>
      <c r="F184" s="56" t="str">
        <f t="shared" si="59"/>
        <v/>
      </c>
      <c r="G184" s="56" t="str">
        <f>IF(AND(B183="",B185=""),"",IF(B184="",ROUND(SUM($G$25:G183),2),IF(B184=$E$8,$F$24-ROUND(SUM($G$25:G183),2),ROUND($F$24/$E$8,2))))</f>
        <v/>
      </c>
      <c r="H184" s="56" t="str">
        <f>IF(B183=$E$8,ROUND(SUM($H$25:H183),2),IF(B184&gt;$E$8,"",IF(U184&lt;&gt;U183,ROUND(SUM(W184*$E$9*F183/U184,X184*$E$9*F183/U183),2),ROUND(F183*$E$9*E184/U183,2))))</f>
        <v/>
      </c>
      <c r="I184" s="56" t="str">
        <f>IF(B183=$E$8,SUM($I$25:I183),IF(B183&gt;$E$8,"",G184+H184))</f>
        <v/>
      </c>
      <c r="J184" s="56" t="str">
        <f t="shared" si="61"/>
        <v/>
      </c>
      <c r="K184" s="56" t="str">
        <f t="shared" si="64"/>
        <v/>
      </c>
      <c r="L184" s="56"/>
      <c r="M184" s="56" t="str">
        <f t="shared" si="62"/>
        <v/>
      </c>
      <c r="N184" s="56" t="str">
        <f t="shared" si="58"/>
        <v/>
      </c>
      <c r="O184" s="56" t="str">
        <f t="shared" si="56"/>
        <v/>
      </c>
      <c r="Q184" s="59" t="str">
        <f>IF(B183=$E$8,XIRR(I$24:I183,D$24:D183),"")</f>
        <v/>
      </c>
      <c r="R184" s="56" t="str">
        <f t="shared" si="55"/>
        <v/>
      </c>
      <c r="S184" s="56">
        <f t="shared" si="49"/>
        <v>0</v>
      </c>
      <c r="T184" s="21" t="e">
        <f t="shared" ca="1" si="50"/>
        <v>#VALUE!</v>
      </c>
      <c r="U184" s="21" t="e">
        <f t="shared" ca="1" si="51"/>
        <v>#VALUE!</v>
      </c>
      <c r="V184" s="21" t="e">
        <f t="shared" ca="1" si="52"/>
        <v>#VALUE!</v>
      </c>
      <c r="W184" s="60" t="e">
        <f t="shared" ca="1" si="53"/>
        <v>#VALUE!</v>
      </c>
      <c r="X184" s="61" t="e">
        <f t="shared" ca="1" si="54"/>
        <v>#VALUE!</v>
      </c>
    </row>
    <row r="185" spans="2:24" x14ac:dyDescent="0.25">
      <c r="B185" s="58" t="str">
        <f t="shared" si="48"/>
        <v/>
      </c>
      <c r="C185" s="55" t="str">
        <f t="shared" si="60"/>
        <v/>
      </c>
      <c r="D185" s="55" t="str">
        <f t="shared" ca="1" si="46"/>
        <v xml:space="preserve"> </v>
      </c>
      <c r="E185" s="58" t="str">
        <f t="shared" si="47"/>
        <v/>
      </c>
      <c r="F185" s="56" t="str">
        <f t="shared" si="59"/>
        <v/>
      </c>
      <c r="G185" s="56" t="str">
        <f>IF(AND(B184="",B186=""),"",IF(B185="",ROUND(SUM($G$25:G184),2),IF(B185=$E$8,$F$24-ROUND(SUM($G$25:G184),2),ROUND($F$24/$E$8,2))))</f>
        <v/>
      </c>
      <c r="H185" s="56" t="str">
        <f>IF(B184=$E$8,ROUND(SUM($H$25:H184),2),IF(B185&gt;$E$8,"",IF(U185&lt;&gt;U184,ROUND(SUM(W185*$E$9*F184/U185,X185*$E$9*F184/U184),2),ROUND(F184*$E$9*E185/U184,2))))</f>
        <v/>
      </c>
      <c r="I185" s="56" t="str">
        <f>IF(B184=$E$8,SUM($I$25:I184),IF(B184&gt;$E$8,"",G185+H185))</f>
        <v/>
      </c>
      <c r="J185" s="56" t="str">
        <f t="shared" si="61"/>
        <v/>
      </c>
      <c r="K185" s="56" t="str">
        <f t="shared" si="64"/>
        <v/>
      </c>
      <c r="L185" s="56"/>
      <c r="M185" s="56" t="str">
        <f t="shared" si="62"/>
        <v/>
      </c>
      <c r="N185" s="56" t="str">
        <f t="shared" si="58"/>
        <v/>
      </c>
      <c r="O185" s="56" t="str">
        <f t="shared" si="56"/>
        <v/>
      </c>
      <c r="Q185" s="59" t="str">
        <f>IF(B184=$E$8,XIRR(I$24:I184,D$24:D184),"")</f>
        <v/>
      </c>
      <c r="R185" s="56" t="str">
        <f t="shared" si="55"/>
        <v/>
      </c>
      <c r="S185" s="56">
        <f t="shared" si="49"/>
        <v>0</v>
      </c>
      <c r="T185" s="21" t="e">
        <f t="shared" ca="1" si="50"/>
        <v>#VALUE!</v>
      </c>
      <c r="U185" s="21" t="e">
        <f t="shared" ca="1" si="51"/>
        <v>#VALUE!</v>
      </c>
      <c r="V185" s="21" t="e">
        <f t="shared" ca="1" si="52"/>
        <v>#VALUE!</v>
      </c>
      <c r="W185" s="60" t="e">
        <f t="shared" ca="1" si="53"/>
        <v>#VALUE!</v>
      </c>
      <c r="X185" s="61" t="e">
        <f t="shared" ca="1" si="54"/>
        <v>#VALUE!</v>
      </c>
    </row>
    <row r="186" spans="2:24" x14ac:dyDescent="0.25">
      <c r="B186" s="58" t="str">
        <f t="shared" si="48"/>
        <v/>
      </c>
      <c r="C186" s="55" t="str">
        <f t="shared" si="60"/>
        <v/>
      </c>
      <c r="D186" s="55" t="str">
        <f t="shared" ca="1" si="46"/>
        <v xml:space="preserve"> </v>
      </c>
      <c r="E186" s="58" t="str">
        <f t="shared" si="47"/>
        <v/>
      </c>
      <c r="F186" s="56" t="str">
        <f t="shared" si="59"/>
        <v/>
      </c>
      <c r="G186" s="56" t="str">
        <f>IF(AND(B185="",B187=""),"",IF(B186="",ROUND(SUM($G$25:G185),2),IF(B186=$E$8,$F$24-ROUND(SUM($G$25:G185),2),ROUND($F$24/$E$8,2))))</f>
        <v/>
      </c>
      <c r="H186" s="56" t="str">
        <f>IF(B185=$E$8,ROUND(SUM($H$25:H185),2),IF(B186&gt;$E$8,"",IF(U186&lt;&gt;U185,ROUND(SUM(W186*$E$9*F185/U186,X186*$E$9*F185/U185),2),ROUND(F185*$E$9*E186/U185,2))))</f>
        <v/>
      </c>
      <c r="I186" s="56" t="str">
        <f>IF(B185=$E$8,SUM($I$25:I185),IF(B185&gt;$E$8,"",G186+H186))</f>
        <v/>
      </c>
      <c r="J186" s="56" t="str">
        <f t="shared" si="61"/>
        <v/>
      </c>
      <c r="K186" s="56" t="str">
        <f t="shared" si="64"/>
        <v/>
      </c>
      <c r="L186" s="56"/>
      <c r="M186" s="56" t="str">
        <f t="shared" si="62"/>
        <v/>
      </c>
      <c r="N186" s="56" t="str">
        <f t="shared" si="58"/>
        <v/>
      </c>
      <c r="O186" s="56" t="str">
        <f t="shared" si="56"/>
        <v/>
      </c>
      <c r="Q186" s="59" t="str">
        <f>IF(B185=$E$8,XIRR(I$24:I185,D$24:D185),"")</f>
        <v/>
      </c>
      <c r="R186" s="56" t="str">
        <f t="shared" si="55"/>
        <v/>
      </c>
      <c r="S186" s="56">
        <f t="shared" si="49"/>
        <v>0</v>
      </c>
      <c r="T186" s="21" t="e">
        <f t="shared" ca="1" si="50"/>
        <v>#VALUE!</v>
      </c>
      <c r="U186" s="21" t="e">
        <f t="shared" ca="1" si="51"/>
        <v>#VALUE!</v>
      </c>
      <c r="V186" s="21" t="e">
        <f t="shared" ca="1" si="52"/>
        <v>#VALUE!</v>
      </c>
      <c r="W186" s="60" t="e">
        <f t="shared" ca="1" si="53"/>
        <v>#VALUE!</v>
      </c>
      <c r="X186" s="61" t="e">
        <f t="shared" ca="1" si="54"/>
        <v>#VALUE!</v>
      </c>
    </row>
    <row r="187" spans="2:24" x14ac:dyDescent="0.25">
      <c r="B187" s="58" t="str">
        <f t="shared" si="48"/>
        <v/>
      </c>
      <c r="C187" s="55" t="str">
        <f t="shared" si="60"/>
        <v/>
      </c>
      <c r="D187" s="55" t="str">
        <f t="shared" ca="1" si="46"/>
        <v xml:space="preserve"> </v>
      </c>
      <c r="E187" s="58" t="str">
        <f t="shared" si="47"/>
        <v/>
      </c>
      <c r="F187" s="56" t="str">
        <f t="shared" si="59"/>
        <v/>
      </c>
      <c r="G187" s="56" t="str">
        <f>IF(AND(B186="",B188=""),"",IF(B187="",ROUND(SUM($G$25:G186),2),IF(B187=$E$8,$F$24-ROUND(SUM($G$25:G186),2),ROUND($F$24/$E$8,2))))</f>
        <v/>
      </c>
      <c r="H187" s="56" t="str">
        <f>IF(B186=$E$8,ROUND(SUM($H$25:H186),2),IF(B187&gt;$E$8,"",IF(U187&lt;&gt;U186,ROUND(SUM(W187*$E$9*F186/U187,X187*$E$9*F186/U186),2),ROUND(F186*$E$9*E187/U186,2))))</f>
        <v/>
      </c>
      <c r="I187" s="56" t="str">
        <f>IF(B186=$E$8,SUM($I$25:I186),IF(B186&gt;$E$8,"",G187+H187))</f>
        <v/>
      </c>
      <c r="J187" s="56" t="str">
        <f t="shared" si="61"/>
        <v/>
      </c>
      <c r="K187" s="56" t="str">
        <f t="shared" si="64"/>
        <v/>
      </c>
      <c r="L187" s="56"/>
      <c r="M187" s="56" t="str">
        <f t="shared" si="62"/>
        <v/>
      </c>
      <c r="N187" s="56" t="str">
        <f t="shared" si="58"/>
        <v/>
      </c>
      <c r="O187" s="56" t="str">
        <f t="shared" si="56"/>
        <v/>
      </c>
      <c r="Q187" s="59" t="str">
        <f>IF(B186=$E$8,XIRR(I$24:I186,D$24:D186),"")</f>
        <v/>
      </c>
      <c r="R187" s="56" t="str">
        <f t="shared" si="55"/>
        <v/>
      </c>
      <c r="S187" s="56">
        <f t="shared" si="49"/>
        <v>0</v>
      </c>
      <c r="T187" s="21" t="e">
        <f t="shared" ca="1" si="50"/>
        <v>#VALUE!</v>
      </c>
      <c r="U187" s="21" t="e">
        <f t="shared" ca="1" si="51"/>
        <v>#VALUE!</v>
      </c>
      <c r="V187" s="21" t="e">
        <f t="shared" ca="1" si="52"/>
        <v>#VALUE!</v>
      </c>
      <c r="W187" s="60" t="e">
        <f t="shared" ca="1" si="53"/>
        <v>#VALUE!</v>
      </c>
      <c r="X187" s="61" t="e">
        <f t="shared" ca="1" si="54"/>
        <v>#VALUE!</v>
      </c>
    </row>
    <row r="188" spans="2:24" x14ac:dyDescent="0.25">
      <c r="B188" s="58" t="str">
        <f t="shared" si="48"/>
        <v/>
      </c>
      <c r="C188" s="55" t="str">
        <f t="shared" si="60"/>
        <v/>
      </c>
      <c r="D188" s="55" t="str">
        <f t="shared" ca="1" si="46"/>
        <v xml:space="preserve"> </v>
      </c>
      <c r="E188" s="58" t="str">
        <f t="shared" si="47"/>
        <v/>
      </c>
      <c r="F188" s="56" t="str">
        <f t="shared" si="59"/>
        <v/>
      </c>
      <c r="G188" s="56" t="str">
        <f>IF(AND(B187="",B189=""),"",IF(B188="",ROUND(SUM($G$25:G187),2),IF(B188=$E$8,$F$24-ROUND(SUM($G$25:G187),2),ROUND($F$24/$E$8,2))))</f>
        <v/>
      </c>
      <c r="H188" s="56" t="str">
        <f>IF(B187=$E$8,ROUND(SUM($H$25:H187),2),IF(B188&gt;$E$8,"",IF(U188&lt;&gt;U187,ROUND(SUM(W188*$E$9*F187/U188,X188*$E$9*F187/U187),2),ROUND(F187*$E$9*E188/U187,2))))</f>
        <v/>
      </c>
      <c r="I188" s="56" t="str">
        <f>IF(B187=$E$8,SUM($I$25:I187),IF(B187&gt;$E$8,"",G188+H188))</f>
        <v/>
      </c>
      <c r="J188" s="56" t="str">
        <f t="shared" si="61"/>
        <v/>
      </c>
      <c r="K188" s="56" t="str">
        <f t="shared" si="64"/>
        <v/>
      </c>
      <c r="L188" s="56"/>
      <c r="M188" s="56" t="str">
        <f t="shared" si="62"/>
        <v/>
      </c>
      <c r="N188" s="56" t="str">
        <f t="shared" si="58"/>
        <v/>
      </c>
      <c r="O188" s="56" t="str">
        <f t="shared" si="56"/>
        <v/>
      </c>
      <c r="Q188" s="59" t="str">
        <f>IF(B187=$E$8,XIRR(I$24:I187,D$24:D187),"")</f>
        <v/>
      </c>
      <c r="R188" s="56" t="str">
        <f t="shared" si="55"/>
        <v/>
      </c>
      <c r="S188" s="56">
        <f t="shared" si="49"/>
        <v>0</v>
      </c>
      <c r="T188" s="21" t="e">
        <f t="shared" ca="1" si="50"/>
        <v>#VALUE!</v>
      </c>
      <c r="U188" s="21" t="e">
        <f t="shared" ca="1" si="51"/>
        <v>#VALUE!</v>
      </c>
      <c r="V188" s="21" t="e">
        <f t="shared" ca="1" si="52"/>
        <v>#VALUE!</v>
      </c>
      <c r="W188" s="60" t="e">
        <f t="shared" ca="1" si="53"/>
        <v>#VALUE!</v>
      </c>
      <c r="X188" s="61" t="e">
        <f t="shared" ca="1" si="54"/>
        <v>#VALUE!</v>
      </c>
    </row>
    <row r="189" spans="2:24" x14ac:dyDescent="0.25">
      <c r="B189" s="58" t="str">
        <f t="shared" si="48"/>
        <v/>
      </c>
      <c r="C189" s="55" t="str">
        <f t="shared" si="60"/>
        <v/>
      </c>
      <c r="D189" s="55" t="str">
        <f t="shared" ca="1" si="46"/>
        <v xml:space="preserve"> </v>
      </c>
      <c r="E189" s="58" t="str">
        <f t="shared" si="47"/>
        <v/>
      </c>
      <c r="F189" s="56" t="str">
        <f t="shared" si="59"/>
        <v/>
      </c>
      <c r="G189" s="56" t="str">
        <f>IF(AND(B188="",B190=""),"",IF(B189="",ROUND(SUM($G$25:G188),2),IF(B189=$E$8,$F$24-ROUND(SUM($G$25:G188),2),ROUND($F$24/$E$8,2))))</f>
        <v/>
      </c>
      <c r="H189" s="56" t="str">
        <f>IF(B188=$E$8,ROUND(SUM($H$25:H188),2),IF(B189&gt;$E$8,"",IF(U189&lt;&gt;U188,ROUND(SUM(W189*$E$9*F188/U189,X189*$E$9*F188/U188),2),ROUND(F188*$E$9*E189/U188,2))))</f>
        <v/>
      </c>
      <c r="I189" s="56" t="str">
        <f>IF(B188=$E$8,SUM($I$25:I188),IF(B188&gt;$E$8,"",G189+H189))</f>
        <v/>
      </c>
      <c r="J189" s="56" t="str">
        <f t="shared" si="61"/>
        <v/>
      </c>
      <c r="K189" s="56" t="str">
        <f t="shared" si="64"/>
        <v/>
      </c>
      <c r="L189" s="56"/>
      <c r="M189" s="56" t="str">
        <f t="shared" si="62"/>
        <v/>
      </c>
      <c r="N189" s="56" t="str">
        <f t="shared" si="58"/>
        <v/>
      </c>
      <c r="O189" s="56" t="str">
        <f t="shared" si="56"/>
        <v/>
      </c>
      <c r="Q189" s="59" t="str">
        <f>IF(B188=$E$8,XIRR(I$24:I188,D$24:D188),"")</f>
        <v/>
      </c>
      <c r="R189" s="56" t="str">
        <f t="shared" si="55"/>
        <v/>
      </c>
      <c r="S189" s="56">
        <f t="shared" si="49"/>
        <v>0</v>
      </c>
      <c r="T189" s="21" t="e">
        <f t="shared" ca="1" si="50"/>
        <v>#VALUE!</v>
      </c>
      <c r="U189" s="21" t="e">
        <f t="shared" ca="1" si="51"/>
        <v>#VALUE!</v>
      </c>
      <c r="V189" s="21" t="e">
        <f t="shared" ca="1" si="52"/>
        <v>#VALUE!</v>
      </c>
      <c r="W189" s="60" t="e">
        <f t="shared" ca="1" si="53"/>
        <v>#VALUE!</v>
      </c>
      <c r="X189" s="61" t="e">
        <f t="shared" ca="1" si="54"/>
        <v>#VALUE!</v>
      </c>
    </row>
    <row r="190" spans="2:24" x14ac:dyDescent="0.25">
      <c r="B190" s="58" t="str">
        <f t="shared" si="48"/>
        <v/>
      </c>
      <c r="C190" s="55" t="str">
        <f t="shared" si="60"/>
        <v/>
      </c>
      <c r="D190" s="55" t="str">
        <f t="shared" ca="1" si="46"/>
        <v xml:space="preserve"> </v>
      </c>
      <c r="E190" s="58" t="str">
        <f t="shared" si="47"/>
        <v/>
      </c>
      <c r="F190" s="56" t="str">
        <f t="shared" si="59"/>
        <v/>
      </c>
      <c r="G190" s="56" t="str">
        <f>IF(AND(B189="",B191=""),"",IF(B190="",ROUND(SUM($G$25:G189),2),IF(B190=$E$8,$F$24-ROUND(SUM($G$25:G189),2),ROUND($F$24/$E$8,2))))</f>
        <v/>
      </c>
      <c r="H190" s="56" t="str">
        <f>IF(B189=$E$8,ROUND(SUM($H$25:H189),2),IF(B190&gt;$E$8,"",IF(U190&lt;&gt;U189,ROUND(SUM(W190*$E$9*F189/U190,X190*$E$9*F189/U189),2),ROUND(F189*$E$9*E190/U189,2))))</f>
        <v/>
      </c>
      <c r="I190" s="56" t="str">
        <f>IF(B189=$E$8,SUM($I$25:I189),IF(B189&gt;$E$8,"",G190+H190))</f>
        <v/>
      </c>
      <c r="J190" s="56" t="str">
        <f t="shared" si="61"/>
        <v/>
      </c>
      <c r="K190" s="56" t="str">
        <f t="shared" si="64"/>
        <v/>
      </c>
      <c r="L190" s="56"/>
      <c r="M190" s="56" t="str">
        <f t="shared" si="62"/>
        <v/>
      </c>
      <c r="N190" s="56" t="str">
        <f t="shared" si="58"/>
        <v/>
      </c>
      <c r="O190" s="56" t="str">
        <f t="shared" si="56"/>
        <v/>
      </c>
      <c r="Q190" s="59" t="str">
        <f>IF(B189=$E$8,XIRR(I$24:I189,D$24:D189),"")</f>
        <v/>
      </c>
      <c r="R190" s="56" t="str">
        <f t="shared" si="55"/>
        <v/>
      </c>
      <c r="S190" s="56">
        <f t="shared" si="49"/>
        <v>0</v>
      </c>
      <c r="T190" s="21" t="e">
        <f t="shared" ca="1" si="50"/>
        <v>#VALUE!</v>
      </c>
      <c r="U190" s="21" t="e">
        <f t="shared" ca="1" si="51"/>
        <v>#VALUE!</v>
      </c>
      <c r="V190" s="21" t="e">
        <f t="shared" ca="1" si="52"/>
        <v>#VALUE!</v>
      </c>
      <c r="W190" s="60" t="e">
        <f t="shared" ca="1" si="53"/>
        <v>#VALUE!</v>
      </c>
      <c r="X190" s="61" t="e">
        <f t="shared" ca="1" si="54"/>
        <v>#VALUE!</v>
      </c>
    </row>
    <row r="191" spans="2:24" x14ac:dyDescent="0.25">
      <c r="B191" s="58" t="str">
        <f t="shared" si="48"/>
        <v/>
      </c>
      <c r="C191" s="55" t="str">
        <f t="shared" si="60"/>
        <v/>
      </c>
      <c r="D191" s="55" t="str">
        <f t="shared" ca="1" si="46"/>
        <v xml:space="preserve"> </v>
      </c>
      <c r="E191" s="58" t="str">
        <f t="shared" si="47"/>
        <v/>
      </c>
      <c r="F191" s="56" t="str">
        <f t="shared" si="59"/>
        <v/>
      </c>
      <c r="G191" s="56" t="str">
        <f>IF(AND(B190="",B192=""),"",IF(B191="",ROUND(SUM($G$25:G190),2),IF(B191=$E$8,$F$24-ROUND(SUM($G$25:G190),2),ROUND($F$24/$E$8,2))))</f>
        <v/>
      </c>
      <c r="H191" s="56" t="str">
        <f>IF(B190=$E$8,ROUND(SUM($H$25:H190),2),IF(B191&gt;$E$8,"",IF(U191&lt;&gt;U190,ROUND(SUM(W191*$E$9*F190/U191,X191*$E$9*F190/U190),2),ROUND(F190*$E$9*E191/U190,2))))</f>
        <v/>
      </c>
      <c r="I191" s="56" t="str">
        <f>IF(B190=$E$8,SUM($I$25:I190),IF(B190&gt;$E$8,"",G191+H191))</f>
        <v/>
      </c>
      <c r="J191" s="56" t="str">
        <f t="shared" si="61"/>
        <v/>
      </c>
      <c r="K191" s="56" t="str">
        <f t="shared" si="64"/>
        <v/>
      </c>
      <c r="L191" s="56"/>
      <c r="M191" s="56" t="str">
        <f t="shared" si="62"/>
        <v/>
      </c>
      <c r="N191" s="56" t="str">
        <f t="shared" si="58"/>
        <v/>
      </c>
      <c r="O191" s="56" t="str">
        <f t="shared" si="56"/>
        <v/>
      </c>
      <c r="Q191" s="59" t="str">
        <f>IF(B190=$E$8,XIRR(I$24:I190,D$24:D190),"")</f>
        <v/>
      </c>
      <c r="R191" s="56" t="str">
        <f t="shared" si="55"/>
        <v/>
      </c>
      <c r="S191" s="56">
        <f t="shared" si="49"/>
        <v>0</v>
      </c>
      <c r="T191" s="21" t="e">
        <f t="shared" ca="1" si="50"/>
        <v>#VALUE!</v>
      </c>
      <c r="U191" s="21" t="e">
        <f t="shared" ca="1" si="51"/>
        <v>#VALUE!</v>
      </c>
      <c r="V191" s="21" t="e">
        <f t="shared" ca="1" si="52"/>
        <v>#VALUE!</v>
      </c>
      <c r="W191" s="60" t="e">
        <f t="shared" ca="1" si="53"/>
        <v>#VALUE!</v>
      </c>
      <c r="X191" s="61" t="e">
        <f t="shared" ca="1" si="54"/>
        <v>#VALUE!</v>
      </c>
    </row>
    <row r="192" spans="2:24" x14ac:dyDescent="0.25">
      <c r="B192" s="58" t="str">
        <f t="shared" si="48"/>
        <v/>
      </c>
      <c r="C192" s="55" t="str">
        <f t="shared" si="60"/>
        <v/>
      </c>
      <c r="D192" s="55" t="str">
        <f t="shared" ca="1" si="46"/>
        <v xml:space="preserve"> </v>
      </c>
      <c r="E192" s="58" t="str">
        <f t="shared" si="47"/>
        <v/>
      </c>
      <c r="F192" s="56" t="str">
        <f t="shared" si="59"/>
        <v/>
      </c>
      <c r="G192" s="56" t="str">
        <f>IF(AND(B191="",B193=""),"",IF(B192="",ROUND(SUM($G$25:G191),2),IF(B192=$E$8,$F$24-ROUND(SUM($G$25:G191),2),ROUND($F$24/$E$8,2))))</f>
        <v/>
      </c>
      <c r="H192" s="56" t="str">
        <f>IF(B191=$E$8,ROUND(SUM($H$25:H191),2),IF(B192&gt;$E$8,"",IF(U192&lt;&gt;U191,ROUND(SUM(W192*$E$9*F191/U192,X192*$E$9*F191/U191),2),ROUND(F191*$E$9*E192/U191,2))))</f>
        <v/>
      </c>
      <c r="I192" s="56" t="str">
        <f>IF(B191=$E$8,SUM($I$25:I191),IF(B191&gt;$E$8,"",G192+H192))</f>
        <v/>
      </c>
      <c r="J192" s="56" t="str">
        <f t="shared" si="61"/>
        <v/>
      </c>
      <c r="K192" s="56" t="str">
        <f t="shared" si="64"/>
        <v/>
      </c>
      <c r="L192" s="56"/>
      <c r="M192" s="56" t="str">
        <f t="shared" si="62"/>
        <v/>
      </c>
      <c r="N192" s="56" t="str">
        <f t="shared" si="58"/>
        <v/>
      </c>
      <c r="O192" s="56" t="str">
        <f t="shared" si="56"/>
        <v/>
      </c>
      <c r="Q192" s="59" t="str">
        <f>IF(B191=$E$8,XIRR(I$24:I191,D$24:D191),"")</f>
        <v/>
      </c>
      <c r="R192" s="56" t="str">
        <f t="shared" si="55"/>
        <v/>
      </c>
      <c r="S192" s="56">
        <f t="shared" si="49"/>
        <v>0</v>
      </c>
      <c r="T192" s="21" t="e">
        <f t="shared" ca="1" si="50"/>
        <v>#VALUE!</v>
      </c>
      <c r="U192" s="21" t="e">
        <f t="shared" ca="1" si="51"/>
        <v>#VALUE!</v>
      </c>
      <c r="V192" s="21" t="e">
        <f t="shared" ca="1" si="52"/>
        <v>#VALUE!</v>
      </c>
      <c r="W192" s="60" t="e">
        <f t="shared" ca="1" si="53"/>
        <v>#VALUE!</v>
      </c>
      <c r="X192" s="61" t="e">
        <f t="shared" ca="1" si="54"/>
        <v>#VALUE!</v>
      </c>
    </row>
    <row r="193" spans="2:24" x14ac:dyDescent="0.25">
      <c r="B193" s="58" t="str">
        <f t="shared" si="48"/>
        <v/>
      </c>
      <c r="C193" s="55" t="str">
        <f t="shared" si="60"/>
        <v/>
      </c>
      <c r="D193" s="55" t="str">
        <f t="shared" ca="1" si="46"/>
        <v xml:space="preserve"> </v>
      </c>
      <c r="E193" s="58" t="str">
        <f t="shared" si="47"/>
        <v/>
      </c>
      <c r="F193" s="56" t="str">
        <f t="shared" si="59"/>
        <v/>
      </c>
      <c r="G193" s="56" t="str">
        <f>IF(AND(B192="",B194=""),"",IF(B193="",ROUND(SUM($G$25:G192),2),IF(B193=$E$8,$F$24-ROUND(SUM($G$25:G192),2),ROUND($F$24/$E$8,2))))</f>
        <v/>
      </c>
      <c r="H193" s="56" t="str">
        <f>IF(B192=$E$8,ROUND(SUM($H$25:H192),2),IF(B193&gt;$E$8,"",IF(U193&lt;&gt;U192,ROUND(SUM(W193*$E$9*F192/U193,X193*$E$9*F192/U192),2),ROUND(F192*$E$9*E193/U192,2))))</f>
        <v/>
      </c>
      <c r="I193" s="56" t="str">
        <f>IF(B192=$E$8,SUM($I$25:I192),IF(B192&gt;$E$8,"",G193+H193))</f>
        <v/>
      </c>
      <c r="J193" s="56" t="str">
        <f t="shared" si="61"/>
        <v/>
      </c>
      <c r="K193" s="56" t="str">
        <f>IF($E$8&gt;B192,$O$9,IF($E$8=B192,SUM($K$24:K192)," "))</f>
        <v xml:space="preserve"> </v>
      </c>
      <c r="L193" s="56" t="str">
        <f>IF($E$8&gt;B192,($P$8+$O$10*F192),IF(B192=$E$8,$L$37+$L$24+$L$49+$L$61+$L$73+$L$85+$L$97+$L$109+$L$121+$L$133+$L$145+$L$157+$L$169+$L$181,""))</f>
        <v/>
      </c>
      <c r="M193" s="56" t="str">
        <f t="shared" si="62"/>
        <v/>
      </c>
      <c r="N193" s="56" t="str">
        <f t="shared" si="58"/>
        <v/>
      </c>
      <c r="O193" s="56" t="str">
        <f t="shared" si="56"/>
        <v/>
      </c>
      <c r="Q193" s="59" t="str">
        <f>IF(B192=$E$8,XIRR(I$24:I192,D$24:D192),"")</f>
        <v/>
      </c>
      <c r="R193" s="56" t="str">
        <f t="shared" si="55"/>
        <v/>
      </c>
      <c r="S193" s="56">
        <f t="shared" si="49"/>
        <v>0</v>
      </c>
      <c r="T193" s="21" t="e">
        <f t="shared" ca="1" si="50"/>
        <v>#VALUE!</v>
      </c>
      <c r="U193" s="21" t="e">
        <f t="shared" ca="1" si="51"/>
        <v>#VALUE!</v>
      </c>
      <c r="V193" s="21" t="e">
        <f t="shared" ca="1" si="52"/>
        <v>#VALUE!</v>
      </c>
      <c r="W193" s="60" t="e">
        <f t="shared" ca="1" si="53"/>
        <v>#VALUE!</v>
      </c>
      <c r="X193" s="61" t="e">
        <f t="shared" ca="1" si="54"/>
        <v>#VALUE!</v>
      </c>
    </row>
    <row r="194" spans="2:24" x14ac:dyDescent="0.25">
      <c r="B194" s="58" t="str">
        <f t="shared" si="48"/>
        <v/>
      </c>
      <c r="C194" s="55" t="str">
        <f t="shared" si="60"/>
        <v/>
      </c>
      <c r="D194" s="55" t="str">
        <f t="shared" ca="1" si="46"/>
        <v xml:space="preserve"> </v>
      </c>
      <c r="E194" s="58" t="str">
        <f t="shared" si="47"/>
        <v/>
      </c>
      <c r="F194" s="56" t="str">
        <f t="shared" si="59"/>
        <v/>
      </c>
      <c r="G194" s="56" t="str">
        <f>IF(AND(B193="",B195=""),"",IF(B194="",ROUND(SUM($G$25:G193),2),IF(B194=$E$8,$F$24-ROUND(SUM($G$25:G193),2),ROUND($F$24/$E$8,2))))</f>
        <v/>
      </c>
      <c r="H194" s="56" t="str">
        <f>IF(B193=$E$8,ROUND(SUM($H$25:H193),2),IF(B194&gt;$E$8,"",IF(U194&lt;&gt;U193,ROUND(SUM(W194*$E$9*F193/U194,X194*$E$9*F193/U193),2),ROUND(F193*$E$9*E194/U193,2))))</f>
        <v/>
      </c>
      <c r="I194" s="56" t="str">
        <f>IF(B193=$E$8,SUM($I$25:I193),IF(B193&gt;$E$8,"",G194+H194))</f>
        <v/>
      </c>
      <c r="J194" s="56" t="str">
        <f t="shared" si="61"/>
        <v/>
      </c>
      <c r="K194" s="56" t="str">
        <f t="shared" ref="K194:K204" si="65">IF(B193=$E$8,$K$24,"")</f>
        <v/>
      </c>
      <c r="L194" s="56"/>
      <c r="M194" s="56" t="str">
        <f t="shared" si="62"/>
        <v/>
      </c>
      <c r="N194" s="56" t="str">
        <f t="shared" si="58"/>
        <v/>
      </c>
      <c r="O194" s="56" t="str">
        <f t="shared" si="56"/>
        <v/>
      </c>
      <c r="Q194" s="59" t="str">
        <f>IF(B193=$E$8,XIRR(I$24:I193,D$24:D193),"")</f>
        <v/>
      </c>
      <c r="R194" s="56" t="str">
        <f t="shared" si="55"/>
        <v/>
      </c>
      <c r="S194" s="56">
        <f t="shared" si="49"/>
        <v>0</v>
      </c>
      <c r="T194" s="21" t="e">
        <f t="shared" ca="1" si="50"/>
        <v>#VALUE!</v>
      </c>
      <c r="U194" s="21" t="e">
        <f t="shared" ca="1" si="51"/>
        <v>#VALUE!</v>
      </c>
      <c r="V194" s="21" t="e">
        <f t="shared" ca="1" si="52"/>
        <v>#VALUE!</v>
      </c>
      <c r="W194" s="60" t="e">
        <f t="shared" ca="1" si="53"/>
        <v>#VALUE!</v>
      </c>
      <c r="X194" s="61" t="e">
        <f t="shared" ca="1" si="54"/>
        <v>#VALUE!</v>
      </c>
    </row>
    <row r="195" spans="2:24" x14ac:dyDescent="0.25">
      <c r="B195" s="58" t="str">
        <f t="shared" si="48"/>
        <v/>
      </c>
      <c r="C195" s="55" t="str">
        <f t="shared" si="60"/>
        <v/>
      </c>
      <c r="D195" s="55" t="str">
        <f t="shared" ca="1" si="46"/>
        <v xml:space="preserve"> </v>
      </c>
      <c r="E195" s="58" t="str">
        <f t="shared" si="47"/>
        <v/>
      </c>
      <c r="F195" s="56" t="str">
        <f t="shared" si="59"/>
        <v/>
      </c>
      <c r="G195" s="56" t="str">
        <f>IF(AND(B194="",B196=""),"",IF(B195="",ROUND(SUM($G$25:G194),2),IF(B195=$E$8,$F$24-ROUND(SUM($G$25:G194),2),ROUND($F$24/$E$8,2))))</f>
        <v/>
      </c>
      <c r="H195" s="56" t="str">
        <f>IF(B194=$E$8,ROUND(SUM($H$25:H194),2),IF(B195&gt;$E$8,"",IF(U195&lt;&gt;U194,ROUND(SUM(W195*$E$9*F194/U195,X195*$E$9*F194/U194),2),ROUND(F194*$E$9*E195/U194,2))))</f>
        <v/>
      </c>
      <c r="I195" s="56" t="str">
        <f>IF(B194=$E$8,SUM($I$25:I194),IF(B194&gt;$E$8,"",G195+H195))</f>
        <v/>
      </c>
      <c r="J195" s="56" t="str">
        <f t="shared" si="61"/>
        <v/>
      </c>
      <c r="K195" s="56" t="str">
        <f t="shared" si="65"/>
        <v/>
      </c>
      <c r="L195" s="56"/>
      <c r="M195" s="56" t="str">
        <f t="shared" si="62"/>
        <v/>
      </c>
      <c r="N195" s="56" t="str">
        <f t="shared" si="58"/>
        <v/>
      </c>
      <c r="O195" s="56" t="str">
        <f t="shared" si="56"/>
        <v/>
      </c>
      <c r="Q195" s="59" t="str">
        <f>IF(B194=$E$8,XIRR(I$24:I194,D$24:D194),"")</f>
        <v/>
      </c>
      <c r="R195" s="56" t="str">
        <f t="shared" si="55"/>
        <v/>
      </c>
      <c r="S195" s="56">
        <f t="shared" si="49"/>
        <v>0</v>
      </c>
      <c r="T195" s="21" t="e">
        <f t="shared" ca="1" si="50"/>
        <v>#VALUE!</v>
      </c>
      <c r="U195" s="21" t="e">
        <f t="shared" ca="1" si="51"/>
        <v>#VALUE!</v>
      </c>
      <c r="V195" s="21" t="e">
        <f t="shared" ca="1" si="52"/>
        <v>#VALUE!</v>
      </c>
      <c r="W195" s="60" t="e">
        <f t="shared" ca="1" si="53"/>
        <v>#VALUE!</v>
      </c>
      <c r="X195" s="61" t="e">
        <f t="shared" ca="1" si="54"/>
        <v>#VALUE!</v>
      </c>
    </row>
    <row r="196" spans="2:24" x14ac:dyDescent="0.25">
      <c r="B196" s="58" t="str">
        <f t="shared" si="48"/>
        <v/>
      </c>
      <c r="C196" s="55" t="str">
        <f t="shared" si="60"/>
        <v/>
      </c>
      <c r="D196" s="55" t="str">
        <f t="shared" ca="1" si="46"/>
        <v xml:space="preserve"> </v>
      </c>
      <c r="E196" s="58" t="str">
        <f t="shared" si="47"/>
        <v/>
      </c>
      <c r="F196" s="56" t="str">
        <f t="shared" si="59"/>
        <v/>
      </c>
      <c r="G196" s="56" t="str">
        <f>IF(AND(B195="",B197=""),"",IF(B196="",ROUND(SUM($G$25:G195),2),IF(B196=$E$8,$F$24-ROUND(SUM($G$25:G195),2),ROUND($F$24/$E$8,2))))</f>
        <v/>
      </c>
      <c r="H196" s="56" t="str">
        <f>IF(B195=$E$8,ROUND(SUM($H$25:H195),2),IF(B196&gt;$E$8,"",IF(U196&lt;&gt;U195,ROUND(SUM(W196*$E$9*F195/U196,X196*$E$9*F195/U195),2),ROUND(F195*$E$9*E196/U195,2))))</f>
        <v/>
      </c>
      <c r="I196" s="56" t="str">
        <f>IF(B195=$E$8,SUM($I$25:I195),IF(B195&gt;$E$8,"",G196+H196))</f>
        <v/>
      </c>
      <c r="J196" s="56" t="str">
        <f t="shared" si="61"/>
        <v/>
      </c>
      <c r="K196" s="56" t="str">
        <f t="shared" si="65"/>
        <v/>
      </c>
      <c r="L196" s="56"/>
      <c r="M196" s="56" t="str">
        <f t="shared" si="62"/>
        <v/>
      </c>
      <c r="N196" s="56" t="str">
        <f t="shared" si="58"/>
        <v/>
      </c>
      <c r="O196" s="56" t="str">
        <f t="shared" si="56"/>
        <v/>
      </c>
      <c r="Q196" s="59" t="str">
        <f>IF(B195=$E$8,XIRR(I$24:I195,D$24:D195),"")</f>
        <v/>
      </c>
      <c r="R196" s="56" t="str">
        <f t="shared" si="55"/>
        <v/>
      </c>
      <c r="S196" s="56">
        <f t="shared" si="49"/>
        <v>0</v>
      </c>
      <c r="T196" s="21" t="e">
        <f t="shared" ca="1" si="50"/>
        <v>#VALUE!</v>
      </c>
      <c r="U196" s="21" t="e">
        <f t="shared" ca="1" si="51"/>
        <v>#VALUE!</v>
      </c>
      <c r="V196" s="21" t="e">
        <f t="shared" ca="1" si="52"/>
        <v>#VALUE!</v>
      </c>
      <c r="W196" s="60" t="e">
        <f t="shared" ca="1" si="53"/>
        <v>#VALUE!</v>
      </c>
      <c r="X196" s="61" t="e">
        <f t="shared" ca="1" si="54"/>
        <v>#VALUE!</v>
      </c>
    </row>
    <row r="197" spans="2:24" x14ac:dyDescent="0.25">
      <c r="B197" s="58" t="str">
        <f t="shared" si="48"/>
        <v/>
      </c>
      <c r="C197" s="55" t="str">
        <f t="shared" si="60"/>
        <v/>
      </c>
      <c r="D197" s="55" t="str">
        <f t="shared" ca="1" si="46"/>
        <v xml:space="preserve"> </v>
      </c>
      <c r="E197" s="58" t="str">
        <f t="shared" si="47"/>
        <v/>
      </c>
      <c r="F197" s="56" t="str">
        <f t="shared" si="59"/>
        <v/>
      </c>
      <c r="G197" s="56" t="str">
        <f>IF(AND(B196="",B198=""),"",IF(B197="",ROUND(SUM($G$25:G196),2),IF(B197=$E$8,$F$24-ROUND(SUM($G$25:G196),2),ROUND($F$24/$E$8,2))))</f>
        <v/>
      </c>
      <c r="H197" s="56" t="str">
        <f>IF(B196=$E$8,ROUND(SUM($H$25:H196),2),IF(B197&gt;$E$8,"",IF(U197&lt;&gt;U196,ROUND(SUM(W197*$E$9*F196/U197,X197*$E$9*F196/U196),2),ROUND(F196*$E$9*E197/U196,2))))</f>
        <v/>
      </c>
      <c r="I197" s="56" t="str">
        <f>IF(B196=$E$8,SUM($I$25:I196),IF(B196&gt;$E$8,"",G197+H197))</f>
        <v/>
      </c>
      <c r="J197" s="56" t="str">
        <f t="shared" si="61"/>
        <v/>
      </c>
      <c r="K197" s="56" t="str">
        <f t="shared" si="65"/>
        <v/>
      </c>
      <c r="L197" s="56"/>
      <c r="M197" s="56" t="str">
        <f t="shared" si="62"/>
        <v/>
      </c>
      <c r="N197" s="56" t="str">
        <f t="shared" si="58"/>
        <v/>
      </c>
      <c r="O197" s="56" t="str">
        <f t="shared" si="56"/>
        <v/>
      </c>
      <c r="Q197" s="59" t="str">
        <f>IF(B196=$E$8,XIRR(I$24:I196,D$24:D196),"")</f>
        <v/>
      </c>
      <c r="R197" s="56" t="str">
        <f t="shared" si="55"/>
        <v/>
      </c>
      <c r="S197" s="56">
        <f t="shared" si="49"/>
        <v>0</v>
      </c>
      <c r="T197" s="21" t="e">
        <f t="shared" ca="1" si="50"/>
        <v>#VALUE!</v>
      </c>
      <c r="U197" s="21" t="e">
        <f t="shared" ca="1" si="51"/>
        <v>#VALUE!</v>
      </c>
      <c r="V197" s="21" t="e">
        <f t="shared" ca="1" si="52"/>
        <v>#VALUE!</v>
      </c>
      <c r="W197" s="60" t="e">
        <f t="shared" ca="1" si="53"/>
        <v>#VALUE!</v>
      </c>
      <c r="X197" s="61" t="e">
        <f t="shared" ca="1" si="54"/>
        <v>#VALUE!</v>
      </c>
    </row>
    <row r="198" spans="2:24" x14ac:dyDescent="0.25">
      <c r="B198" s="58" t="str">
        <f t="shared" si="48"/>
        <v/>
      </c>
      <c r="C198" s="55" t="str">
        <f t="shared" si="60"/>
        <v/>
      </c>
      <c r="D198" s="55" t="str">
        <f t="shared" ca="1" si="46"/>
        <v xml:space="preserve"> </v>
      </c>
      <c r="E198" s="58" t="str">
        <f t="shared" si="47"/>
        <v/>
      </c>
      <c r="F198" s="56" t="str">
        <f t="shared" si="59"/>
        <v/>
      </c>
      <c r="G198" s="56" t="str">
        <f>IF(AND(B197="",B199=""),"",IF(B198="",ROUND(SUM($G$25:G197),2),IF(B198=$E$8,$F$24-ROUND(SUM($G$25:G197),2),ROUND($F$24/$E$8,2))))</f>
        <v/>
      </c>
      <c r="H198" s="56" t="str">
        <f>IF(B197=$E$8,ROUND(SUM($H$25:H197),2),IF(B198&gt;$E$8,"",IF(U198&lt;&gt;U197,ROUND(SUM(W198*$E$9*F197/U198,X198*$E$9*F197/U197),2),ROUND(F197*$E$9*E198/U197,2))))</f>
        <v/>
      </c>
      <c r="I198" s="56" t="str">
        <f>IF(B197=$E$8,SUM($I$25:I197),IF(B197&gt;$E$8,"",G198+H198))</f>
        <v/>
      </c>
      <c r="J198" s="56" t="str">
        <f t="shared" si="61"/>
        <v/>
      </c>
      <c r="K198" s="56" t="str">
        <f t="shared" si="65"/>
        <v/>
      </c>
      <c r="L198" s="56"/>
      <c r="M198" s="56" t="str">
        <f t="shared" si="62"/>
        <v/>
      </c>
      <c r="N198" s="56" t="str">
        <f t="shared" si="58"/>
        <v/>
      </c>
      <c r="O198" s="56" t="str">
        <f t="shared" si="56"/>
        <v/>
      </c>
      <c r="Q198" s="59" t="str">
        <f>IF(B197=$E$8,XIRR(I$24:I197,D$24:D197),"")</f>
        <v/>
      </c>
      <c r="R198" s="56" t="str">
        <f t="shared" si="55"/>
        <v/>
      </c>
      <c r="S198" s="56">
        <f t="shared" si="49"/>
        <v>0</v>
      </c>
      <c r="T198" s="21" t="e">
        <f t="shared" ca="1" si="50"/>
        <v>#VALUE!</v>
      </c>
      <c r="U198" s="21" t="e">
        <f t="shared" ca="1" si="51"/>
        <v>#VALUE!</v>
      </c>
      <c r="V198" s="21" t="e">
        <f t="shared" ca="1" si="52"/>
        <v>#VALUE!</v>
      </c>
      <c r="W198" s="60" t="e">
        <f t="shared" ca="1" si="53"/>
        <v>#VALUE!</v>
      </c>
      <c r="X198" s="61" t="e">
        <f t="shared" ca="1" si="54"/>
        <v>#VALUE!</v>
      </c>
    </row>
    <row r="199" spans="2:24" x14ac:dyDescent="0.25">
      <c r="B199" s="58" t="str">
        <f t="shared" si="48"/>
        <v/>
      </c>
      <c r="C199" s="55" t="str">
        <f t="shared" si="60"/>
        <v/>
      </c>
      <c r="D199" s="55" t="str">
        <f t="shared" ca="1" si="46"/>
        <v xml:space="preserve"> </v>
      </c>
      <c r="E199" s="58" t="str">
        <f t="shared" si="47"/>
        <v/>
      </c>
      <c r="F199" s="56" t="str">
        <f t="shared" si="59"/>
        <v/>
      </c>
      <c r="G199" s="56" t="str">
        <f>IF(AND(B198="",B200=""),"",IF(B199="",ROUND(SUM($G$25:G198),2),IF(B199=$E$8,$F$24-ROUND(SUM($G$25:G198),2),ROUND($F$24/$E$8,2))))</f>
        <v/>
      </c>
      <c r="H199" s="56" t="str">
        <f>IF(B198=$E$8,ROUND(SUM($H$25:H198),2),IF(B199&gt;$E$8,"",IF(U199&lt;&gt;U198,ROUND(SUM(W199*$E$9*F198/U199,X199*$E$9*F198/U198),2),ROUND(F198*$E$9*E199/U198,2))))</f>
        <v/>
      </c>
      <c r="I199" s="56" t="str">
        <f>IF(B198=$E$8,SUM($I$25:I198),IF(B198&gt;$E$8,"",G199+H199))</f>
        <v/>
      </c>
      <c r="J199" s="56" t="str">
        <f t="shared" si="61"/>
        <v/>
      </c>
      <c r="K199" s="56" t="str">
        <f t="shared" si="65"/>
        <v/>
      </c>
      <c r="L199" s="56"/>
      <c r="M199" s="56" t="str">
        <f t="shared" si="62"/>
        <v/>
      </c>
      <c r="N199" s="56" t="str">
        <f t="shared" si="58"/>
        <v/>
      </c>
      <c r="O199" s="56" t="str">
        <f t="shared" si="56"/>
        <v/>
      </c>
      <c r="Q199" s="59" t="str">
        <f>IF(B198=$E$8,XIRR(I$24:I198,D$24:D198),"")</f>
        <v/>
      </c>
      <c r="R199" s="56" t="str">
        <f t="shared" si="55"/>
        <v/>
      </c>
      <c r="S199" s="56">
        <f t="shared" si="49"/>
        <v>0</v>
      </c>
      <c r="T199" s="21" t="e">
        <f t="shared" ca="1" si="50"/>
        <v>#VALUE!</v>
      </c>
      <c r="U199" s="21" t="e">
        <f t="shared" ca="1" si="51"/>
        <v>#VALUE!</v>
      </c>
      <c r="V199" s="21" t="e">
        <f t="shared" ca="1" si="52"/>
        <v>#VALUE!</v>
      </c>
      <c r="W199" s="60" t="e">
        <f t="shared" ca="1" si="53"/>
        <v>#VALUE!</v>
      </c>
      <c r="X199" s="61" t="e">
        <f t="shared" ca="1" si="54"/>
        <v>#VALUE!</v>
      </c>
    </row>
    <row r="200" spans="2:24" x14ac:dyDescent="0.25">
      <c r="B200" s="58" t="str">
        <f t="shared" si="48"/>
        <v/>
      </c>
      <c r="C200" s="55" t="str">
        <f t="shared" si="60"/>
        <v/>
      </c>
      <c r="D200" s="55" t="str">
        <f t="shared" ca="1" si="46"/>
        <v xml:space="preserve"> </v>
      </c>
      <c r="E200" s="58" t="str">
        <f t="shared" si="47"/>
        <v/>
      </c>
      <c r="F200" s="56" t="str">
        <f t="shared" si="59"/>
        <v/>
      </c>
      <c r="G200" s="56" t="str">
        <f>IF(AND(B199="",B201=""),"",IF(B200="",ROUND(SUM($G$25:G199),2),IF(B200=$E$8,$F$24-ROUND(SUM($G$25:G199),2),ROUND($F$24/$E$8,2))))</f>
        <v/>
      </c>
      <c r="H200" s="56" t="str">
        <f>IF(B199=$E$8,ROUND(SUM($H$25:H199),2),IF(B200&gt;$E$8,"",IF(U200&lt;&gt;U199,ROUND(SUM(W200*$E$9*F199/U200,X200*$E$9*F199/U199),2),ROUND(F199*$E$9*E200/U199,2))))</f>
        <v/>
      </c>
      <c r="I200" s="56" t="str">
        <f>IF(B199=$E$8,SUM($I$25:I199),IF(B199&gt;$E$8,"",G200+H200))</f>
        <v/>
      </c>
      <c r="J200" s="56" t="str">
        <f t="shared" si="61"/>
        <v/>
      </c>
      <c r="K200" s="56" t="str">
        <f t="shared" si="65"/>
        <v/>
      </c>
      <c r="L200" s="56"/>
      <c r="M200" s="56" t="str">
        <f t="shared" si="62"/>
        <v/>
      </c>
      <c r="N200" s="56" t="str">
        <f t="shared" si="58"/>
        <v/>
      </c>
      <c r="O200" s="56" t="str">
        <f t="shared" si="56"/>
        <v/>
      </c>
      <c r="Q200" s="59" t="str">
        <f>IF(B199=$E$8,XIRR(I$24:I199,D$24:D199),"")</f>
        <v/>
      </c>
      <c r="R200" s="56" t="str">
        <f t="shared" si="55"/>
        <v/>
      </c>
      <c r="S200" s="56">
        <f t="shared" si="49"/>
        <v>0</v>
      </c>
      <c r="T200" s="21" t="e">
        <f t="shared" ca="1" si="50"/>
        <v>#VALUE!</v>
      </c>
      <c r="U200" s="21" t="e">
        <f t="shared" ca="1" si="51"/>
        <v>#VALUE!</v>
      </c>
      <c r="V200" s="21" t="e">
        <f t="shared" ca="1" si="52"/>
        <v>#VALUE!</v>
      </c>
      <c r="W200" s="60" t="e">
        <f t="shared" ca="1" si="53"/>
        <v>#VALUE!</v>
      </c>
      <c r="X200" s="61" t="e">
        <f t="shared" ca="1" si="54"/>
        <v>#VALUE!</v>
      </c>
    </row>
    <row r="201" spans="2:24" x14ac:dyDescent="0.25">
      <c r="B201" s="58" t="str">
        <f t="shared" si="48"/>
        <v/>
      </c>
      <c r="C201" s="55" t="str">
        <f t="shared" si="60"/>
        <v/>
      </c>
      <c r="D201" s="55" t="str">
        <f t="shared" ca="1" si="46"/>
        <v xml:space="preserve"> </v>
      </c>
      <c r="E201" s="58" t="str">
        <f t="shared" si="47"/>
        <v/>
      </c>
      <c r="F201" s="56" t="str">
        <f t="shared" si="59"/>
        <v/>
      </c>
      <c r="G201" s="56" t="str">
        <f>IF(AND(B200="",B202=""),"",IF(B201="",ROUND(SUM($G$25:G200),2),IF(B201=$E$8,$F$24-ROUND(SUM($G$25:G200),2),ROUND($F$24/$E$8,2))))</f>
        <v/>
      </c>
      <c r="H201" s="56" t="str">
        <f>IF(B200=$E$8,ROUND(SUM($H$25:H200),2),IF(B201&gt;$E$8,"",IF(U201&lt;&gt;U200,ROUND(SUM(W201*$E$9*F200/U201,X201*$E$9*F200/U200),2),ROUND(F200*$E$9*E201/U200,2))))</f>
        <v/>
      </c>
      <c r="I201" s="56" t="str">
        <f>IF(B200=$E$8,SUM($I$25:I200),IF(B200&gt;$E$8,"",G201+H201))</f>
        <v/>
      </c>
      <c r="J201" s="56" t="str">
        <f t="shared" si="61"/>
        <v/>
      </c>
      <c r="K201" s="56" t="str">
        <f t="shared" si="65"/>
        <v/>
      </c>
      <c r="L201" s="56"/>
      <c r="M201" s="56" t="str">
        <f t="shared" si="62"/>
        <v/>
      </c>
      <c r="N201" s="56" t="str">
        <f t="shared" si="58"/>
        <v/>
      </c>
      <c r="O201" s="56" t="str">
        <f t="shared" si="56"/>
        <v/>
      </c>
      <c r="Q201" s="59" t="str">
        <f>IF(B200=$E$8,XIRR(I$24:I200,D$24:D200),"")</f>
        <v/>
      </c>
      <c r="R201" s="56" t="str">
        <f t="shared" si="55"/>
        <v/>
      </c>
      <c r="S201" s="56">
        <f t="shared" si="49"/>
        <v>0</v>
      </c>
      <c r="T201" s="21" t="e">
        <f t="shared" ca="1" si="50"/>
        <v>#VALUE!</v>
      </c>
      <c r="U201" s="21" t="e">
        <f t="shared" ca="1" si="51"/>
        <v>#VALUE!</v>
      </c>
      <c r="V201" s="21" t="e">
        <f t="shared" ca="1" si="52"/>
        <v>#VALUE!</v>
      </c>
      <c r="W201" s="60" t="e">
        <f t="shared" ca="1" si="53"/>
        <v>#VALUE!</v>
      </c>
      <c r="X201" s="61" t="e">
        <f t="shared" ca="1" si="54"/>
        <v>#VALUE!</v>
      </c>
    </row>
    <row r="202" spans="2:24" x14ac:dyDescent="0.25">
      <c r="B202" s="58" t="str">
        <f t="shared" si="48"/>
        <v/>
      </c>
      <c r="C202" s="55" t="str">
        <f t="shared" si="60"/>
        <v/>
      </c>
      <c r="D202" s="55" t="str">
        <f t="shared" ca="1" si="46"/>
        <v xml:space="preserve"> </v>
      </c>
      <c r="E202" s="58" t="str">
        <f t="shared" si="47"/>
        <v/>
      </c>
      <c r="F202" s="56" t="str">
        <f t="shared" si="59"/>
        <v/>
      </c>
      <c r="G202" s="56" t="str">
        <f>IF(AND(B201="",B203=""),"",IF(B202="",ROUND(SUM($G$25:G201),2),IF(B202=$E$8,$F$24-ROUND(SUM($G$25:G201),2),ROUND($F$24/$E$8,2))))</f>
        <v/>
      </c>
      <c r="H202" s="56" t="str">
        <f>IF(B201=$E$8,ROUND(SUM($H$25:H201),2),IF(B202&gt;$E$8,"",IF(U202&lt;&gt;U201,ROUND(SUM(W202*$E$9*F201/U202,X202*$E$9*F201/U201),2),ROUND(F201*$E$9*E202/U201,2))))</f>
        <v/>
      </c>
      <c r="I202" s="56" t="str">
        <f>IF(B201=$E$8,SUM($I$25:I201),IF(B201&gt;$E$8,"",G202+H202))</f>
        <v/>
      </c>
      <c r="J202" s="56" t="str">
        <f t="shared" si="61"/>
        <v/>
      </c>
      <c r="K202" s="56" t="str">
        <f t="shared" si="65"/>
        <v/>
      </c>
      <c r="L202" s="56"/>
      <c r="M202" s="56" t="str">
        <f t="shared" si="62"/>
        <v/>
      </c>
      <c r="N202" s="56" t="str">
        <f t="shared" si="58"/>
        <v/>
      </c>
      <c r="O202" s="56" t="str">
        <f t="shared" si="56"/>
        <v/>
      </c>
      <c r="Q202" s="59" t="str">
        <f>IF(B201=$E$8,XIRR(I$24:I201,D$24:D201),"")</f>
        <v/>
      </c>
      <c r="R202" s="56" t="str">
        <f t="shared" si="55"/>
        <v/>
      </c>
      <c r="S202" s="56">
        <f t="shared" si="49"/>
        <v>0</v>
      </c>
      <c r="T202" s="21" t="e">
        <f t="shared" ca="1" si="50"/>
        <v>#VALUE!</v>
      </c>
      <c r="U202" s="21" t="e">
        <f t="shared" ca="1" si="51"/>
        <v>#VALUE!</v>
      </c>
      <c r="V202" s="21" t="e">
        <f t="shared" ca="1" si="52"/>
        <v>#VALUE!</v>
      </c>
      <c r="W202" s="60" t="e">
        <f t="shared" ca="1" si="53"/>
        <v>#VALUE!</v>
      </c>
      <c r="X202" s="61" t="e">
        <f t="shared" ca="1" si="54"/>
        <v>#VALUE!</v>
      </c>
    </row>
    <row r="203" spans="2:24" x14ac:dyDescent="0.25">
      <c r="B203" s="58" t="str">
        <f t="shared" si="48"/>
        <v/>
      </c>
      <c r="C203" s="55" t="str">
        <f t="shared" si="60"/>
        <v/>
      </c>
      <c r="D203" s="55" t="str">
        <f t="shared" ca="1" si="46"/>
        <v xml:space="preserve"> </v>
      </c>
      <c r="E203" s="58" t="str">
        <f t="shared" si="47"/>
        <v/>
      </c>
      <c r="F203" s="56" t="str">
        <f t="shared" si="59"/>
        <v/>
      </c>
      <c r="G203" s="56" t="str">
        <f>IF(AND(B202="",B204=""),"",IF(B203="",ROUND(SUM($G$25:G202),2),IF(B203=$E$8,$F$24-ROUND(SUM($G$25:G202),2),ROUND($F$24/$E$8,2))))</f>
        <v/>
      </c>
      <c r="H203" s="56" t="str">
        <f>IF(B202=$E$8,ROUND(SUM($H$25:H202),2),IF(B203&gt;$E$8,"",IF(U203&lt;&gt;U202,ROUND(SUM(W203*$E$9*F202/U203,X203*$E$9*F202/U202),2),ROUND(F202*$E$9*E203/U202,2))))</f>
        <v/>
      </c>
      <c r="I203" s="56" t="str">
        <f>IF(B202=$E$8,SUM($I$25:I202),IF(B202&gt;$E$8,"",G203+H203))</f>
        <v/>
      </c>
      <c r="J203" s="56" t="str">
        <f t="shared" si="61"/>
        <v/>
      </c>
      <c r="K203" s="56" t="str">
        <f t="shared" si="65"/>
        <v/>
      </c>
      <c r="L203" s="56"/>
      <c r="M203" s="56" t="str">
        <f t="shared" si="62"/>
        <v/>
      </c>
      <c r="N203" s="56" t="str">
        <f t="shared" si="58"/>
        <v/>
      </c>
      <c r="O203" s="56" t="str">
        <f t="shared" si="56"/>
        <v/>
      </c>
      <c r="Q203" s="59" t="str">
        <f>IF(B202=$E$8,XIRR(I$24:I202,D$24:D202),"")</f>
        <v/>
      </c>
      <c r="R203" s="56" t="str">
        <f t="shared" si="55"/>
        <v/>
      </c>
      <c r="S203" s="56">
        <f t="shared" si="49"/>
        <v>0</v>
      </c>
      <c r="T203" s="21" t="e">
        <f t="shared" ca="1" si="50"/>
        <v>#VALUE!</v>
      </c>
      <c r="U203" s="21" t="e">
        <f t="shared" ca="1" si="51"/>
        <v>#VALUE!</v>
      </c>
      <c r="V203" s="21" t="e">
        <f t="shared" ca="1" si="52"/>
        <v>#VALUE!</v>
      </c>
      <c r="W203" s="60" t="e">
        <f t="shared" ca="1" si="53"/>
        <v>#VALUE!</v>
      </c>
      <c r="X203" s="61" t="e">
        <f t="shared" ca="1" si="54"/>
        <v>#VALUE!</v>
      </c>
    </row>
    <row r="204" spans="2:24" x14ac:dyDescent="0.25">
      <c r="B204" s="58" t="str">
        <f t="shared" si="48"/>
        <v/>
      </c>
      <c r="C204" s="55" t="str">
        <f t="shared" si="60"/>
        <v/>
      </c>
      <c r="D204" s="55" t="str">
        <f t="shared" ca="1" si="46"/>
        <v xml:space="preserve"> </v>
      </c>
      <c r="E204" s="58" t="str">
        <f t="shared" si="47"/>
        <v/>
      </c>
      <c r="F204" s="56" t="str">
        <f t="shared" si="59"/>
        <v/>
      </c>
      <c r="G204" s="56" t="str">
        <f>IF(AND(B203="",B205=""),"",IF(B204="",ROUND(SUM($G$25:G203),2),IF(B204=$E$8,$F$24-ROUND(SUM($G$25:G203),2),ROUND($F$24/$E$8,2))))</f>
        <v/>
      </c>
      <c r="H204" s="56" t="str">
        <f>IF(B203=$E$8,ROUND(SUM($H$25:H203),2),IF(B204&gt;$E$8,"",IF(U204&lt;&gt;U203,ROUND(SUM(W204*$E$9*F203/U204,X204*$E$9*F203/U203),2),ROUND(F203*$E$9*E204/U203,2))))</f>
        <v/>
      </c>
      <c r="I204" s="56" t="str">
        <f>IF(B203=$E$8,SUM($I$25:I203),IF(B203&gt;$E$8,"",G204+H204))</f>
        <v/>
      </c>
      <c r="J204" s="56" t="str">
        <f t="shared" si="61"/>
        <v/>
      </c>
      <c r="K204" s="56" t="str">
        <f t="shared" si="65"/>
        <v/>
      </c>
      <c r="L204" s="56"/>
      <c r="M204" s="56" t="str">
        <f t="shared" si="62"/>
        <v/>
      </c>
      <c r="N204" s="56" t="str">
        <f t="shared" si="58"/>
        <v/>
      </c>
      <c r="O204" s="56" t="str">
        <f t="shared" si="56"/>
        <v/>
      </c>
      <c r="Q204" s="59" t="str">
        <f>IF(B203=$E$8,XIRR(I$24:I203,D$24:D203),"")</f>
        <v/>
      </c>
      <c r="R204" s="56" t="str">
        <f t="shared" si="55"/>
        <v/>
      </c>
      <c r="S204" s="56">
        <f t="shared" si="49"/>
        <v>0</v>
      </c>
      <c r="T204" s="21" t="e">
        <f t="shared" ca="1" si="50"/>
        <v>#VALUE!</v>
      </c>
      <c r="U204" s="21" t="e">
        <f t="shared" ca="1" si="51"/>
        <v>#VALUE!</v>
      </c>
      <c r="V204" s="21" t="e">
        <f t="shared" ca="1" si="52"/>
        <v>#VALUE!</v>
      </c>
      <c r="W204" s="60" t="e">
        <f t="shared" ca="1" si="53"/>
        <v>#VALUE!</v>
      </c>
      <c r="X204" s="61" t="e">
        <f t="shared" ca="1" si="54"/>
        <v>#VALUE!</v>
      </c>
    </row>
    <row r="205" spans="2:24" x14ac:dyDescent="0.25">
      <c r="B205" s="58" t="str">
        <f t="shared" si="48"/>
        <v/>
      </c>
      <c r="C205" s="55" t="str">
        <f t="shared" si="60"/>
        <v/>
      </c>
      <c r="D205" s="55" t="str">
        <f t="shared" ca="1" si="46"/>
        <v xml:space="preserve"> </v>
      </c>
      <c r="E205" s="58" t="str">
        <f t="shared" si="47"/>
        <v/>
      </c>
      <c r="F205" s="56" t="str">
        <f t="shared" si="59"/>
        <v/>
      </c>
      <c r="G205" s="56" t="str">
        <f>IF(AND(B204="",B206=""),"",IF(B205="",ROUND(SUM($G$25:G204),2),IF(B205=$E$8,$F$24-ROUND(SUM($G$25:G204),2),ROUND($F$24/$E$8,2))))</f>
        <v/>
      </c>
      <c r="H205" s="56" t="str">
        <f>IF(B204=$E$8,ROUND(SUM($H$25:H204),2),IF(B205&gt;$E$8,"",IF(U205&lt;&gt;U204,ROUND(SUM(W205*$E$9*F204/U205,X205*$E$9*F204/U204),2),ROUND(F204*$E$9*E205/U204,2))))</f>
        <v/>
      </c>
      <c r="I205" s="56" t="str">
        <f>IF(B204=$E$8,SUM($I$25:I204),IF(B204&gt;$E$8,"",G205+H205))</f>
        <v/>
      </c>
      <c r="J205" s="56" t="str">
        <f t="shared" si="61"/>
        <v/>
      </c>
      <c r="K205" s="56" t="str">
        <f>IF($E$8&gt;B204,$O$9,IF($E$8=B204,SUM($K$24:K204)," "))</f>
        <v xml:space="preserve"> </v>
      </c>
      <c r="L205" s="56" t="str">
        <f>IF($E$8&gt;B204,($P$8+$O$10*F204),IF(B204=$E$8,$L$37+$L$24+$L$49+$L$61+$L$73+$L$85+$L$97+$L$109+$L$121+$L$133+$L$145+$L$157+$L$169+$L$181+$L$193,""))</f>
        <v/>
      </c>
      <c r="M205" s="56" t="str">
        <f t="shared" si="62"/>
        <v/>
      </c>
      <c r="N205" s="56" t="str">
        <f t="shared" si="58"/>
        <v/>
      </c>
      <c r="O205" s="56" t="str">
        <f t="shared" si="56"/>
        <v/>
      </c>
      <c r="Q205" s="59" t="str">
        <f>IF(B204=$E$8,XIRR(I$24:I204,D$24:D204),"")</f>
        <v/>
      </c>
      <c r="R205" s="56" t="str">
        <f t="shared" si="55"/>
        <v/>
      </c>
      <c r="S205" s="56">
        <f t="shared" si="49"/>
        <v>0</v>
      </c>
      <c r="T205" s="21" t="e">
        <f t="shared" ca="1" si="50"/>
        <v>#VALUE!</v>
      </c>
      <c r="U205" s="21" t="e">
        <f t="shared" ca="1" si="51"/>
        <v>#VALUE!</v>
      </c>
      <c r="V205" s="21" t="e">
        <f t="shared" ca="1" si="52"/>
        <v>#VALUE!</v>
      </c>
      <c r="W205" s="60" t="e">
        <f t="shared" ca="1" si="53"/>
        <v>#VALUE!</v>
      </c>
      <c r="X205" s="61" t="e">
        <f t="shared" ca="1" si="54"/>
        <v>#VALUE!</v>
      </c>
    </row>
    <row r="206" spans="2:24" x14ac:dyDescent="0.25">
      <c r="B206" s="58" t="str">
        <f t="shared" si="48"/>
        <v/>
      </c>
      <c r="C206" s="55" t="str">
        <f t="shared" si="60"/>
        <v/>
      </c>
      <c r="D206" s="55" t="str">
        <f t="shared" ca="1" si="46"/>
        <v xml:space="preserve"> </v>
      </c>
      <c r="E206" s="58" t="str">
        <f t="shared" si="47"/>
        <v/>
      </c>
      <c r="F206" s="56" t="str">
        <f t="shared" si="59"/>
        <v/>
      </c>
      <c r="G206" s="56" t="str">
        <f>IF(AND(B205="",B207=""),"",IF(B206="",ROUND(SUM($G$25:G205),2),IF(B206=$E$8,$F$24-ROUND(SUM($G$25:G205),2),ROUND($F$24/$E$8,2))))</f>
        <v/>
      </c>
      <c r="H206" s="56" t="str">
        <f>IF(B205=$E$8,ROUND(SUM($H$25:H205),2),IF(B206&gt;$E$8,"",IF(U206&lt;&gt;U205,ROUND(SUM(W206*$E$9*F205/U206,X206*$E$9*F205/U205),2),ROUND(F205*$E$9*E206/U205,2))))</f>
        <v/>
      </c>
      <c r="I206" s="56" t="str">
        <f>IF(B205=$E$8,SUM($I$25:I205),IF(B205&gt;$E$8,"",G206+H206))</f>
        <v/>
      </c>
      <c r="J206" s="56" t="str">
        <f t="shared" si="61"/>
        <v/>
      </c>
      <c r="K206" s="56" t="str">
        <f t="shared" ref="K206:K216" si="66">IF(B205=$E$8,$K$24,"")</f>
        <v/>
      </c>
      <c r="L206" s="56"/>
      <c r="M206" s="56" t="str">
        <f t="shared" si="62"/>
        <v/>
      </c>
      <c r="N206" s="56" t="str">
        <f t="shared" si="58"/>
        <v/>
      </c>
      <c r="O206" s="56" t="str">
        <f t="shared" si="56"/>
        <v/>
      </c>
      <c r="Q206" s="59" t="str">
        <f>IF(B205=$E$8,XIRR(I$24:I205,D$24:D205),"")</f>
        <v/>
      </c>
      <c r="R206" s="56" t="str">
        <f t="shared" si="55"/>
        <v/>
      </c>
      <c r="S206" s="56">
        <f t="shared" si="49"/>
        <v>0</v>
      </c>
      <c r="T206" s="21" t="e">
        <f t="shared" ca="1" si="50"/>
        <v>#VALUE!</v>
      </c>
      <c r="U206" s="21" t="e">
        <f t="shared" ca="1" si="51"/>
        <v>#VALUE!</v>
      </c>
      <c r="V206" s="21" t="e">
        <f t="shared" ca="1" si="52"/>
        <v>#VALUE!</v>
      </c>
      <c r="W206" s="60" t="e">
        <f t="shared" ca="1" si="53"/>
        <v>#VALUE!</v>
      </c>
      <c r="X206" s="61" t="e">
        <f t="shared" ca="1" si="54"/>
        <v>#VALUE!</v>
      </c>
    </row>
    <row r="207" spans="2:24" x14ac:dyDescent="0.25">
      <c r="B207" s="58" t="str">
        <f t="shared" si="48"/>
        <v/>
      </c>
      <c r="C207" s="55" t="str">
        <f t="shared" si="60"/>
        <v/>
      </c>
      <c r="D207" s="55" t="str">
        <f t="shared" ca="1" si="46"/>
        <v xml:space="preserve"> </v>
      </c>
      <c r="E207" s="58" t="str">
        <f t="shared" si="47"/>
        <v/>
      </c>
      <c r="F207" s="56" t="str">
        <f t="shared" si="59"/>
        <v/>
      </c>
      <c r="G207" s="56" t="str">
        <f>IF(AND(B206="",B208=""),"",IF(B207="",ROUND(SUM($G$25:G206),2),IF(B207=$E$8,$F$24-ROUND(SUM($G$25:G206),2),ROUND($F$24/$E$8,2))))</f>
        <v/>
      </c>
      <c r="H207" s="56" t="str">
        <f>IF(B206=$E$8,ROUND(SUM($H$25:H206),2),IF(B207&gt;$E$8,"",IF(U207&lt;&gt;U206,ROUND(SUM(W207*$E$9*F206/U207,X207*$E$9*F206/U206),2),ROUND(F206*$E$9*E207/U206,2))))</f>
        <v/>
      </c>
      <c r="I207" s="56" t="str">
        <f>IF(B206=$E$8,SUM($I$25:I206),IF(B206&gt;$E$8,"",G207+H207))</f>
        <v/>
      </c>
      <c r="J207" s="56" t="str">
        <f t="shared" si="61"/>
        <v/>
      </c>
      <c r="K207" s="56" t="str">
        <f t="shared" si="66"/>
        <v/>
      </c>
      <c r="L207" s="56"/>
      <c r="M207" s="56" t="str">
        <f t="shared" si="62"/>
        <v/>
      </c>
      <c r="N207" s="56" t="str">
        <f t="shared" si="58"/>
        <v/>
      </c>
      <c r="O207" s="56" t="str">
        <f t="shared" si="56"/>
        <v/>
      </c>
      <c r="Q207" s="59" t="str">
        <f>IF(B206=$E$8,XIRR(I$24:I206,D$24:D206),"")</f>
        <v/>
      </c>
      <c r="R207" s="56" t="str">
        <f t="shared" si="55"/>
        <v/>
      </c>
      <c r="S207" s="56">
        <f t="shared" si="49"/>
        <v>0</v>
      </c>
      <c r="T207" s="21" t="e">
        <f t="shared" ca="1" si="50"/>
        <v>#VALUE!</v>
      </c>
      <c r="U207" s="21" t="e">
        <f t="shared" ca="1" si="51"/>
        <v>#VALUE!</v>
      </c>
      <c r="V207" s="21" t="e">
        <f t="shared" ca="1" si="52"/>
        <v>#VALUE!</v>
      </c>
      <c r="W207" s="60" t="e">
        <f t="shared" ca="1" si="53"/>
        <v>#VALUE!</v>
      </c>
      <c r="X207" s="61" t="e">
        <f t="shared" ca="1" si="54"/>
        <v>#VALUE!</v>
      </c>
    </row>
    <row r="208" spans="2:24" x14ac:dyDescent="0.25">
      <c r="B208" s="58" t="str">
        <f t="shared" si="48"/>
        <v/>
      </c>
      <c r="C208" s="55" t="str">
        <f t="shared" si="60"/>
        <v/>
      </c>
      <c r="D208" s="55" t="str">
        <f t="shared" ca="1" si="46"/>
        <v xml:space="preserve"> </v>
      </c>
      <c r="E208" s="58" t="str">
        <f t="shared" si="47"/>
        <v/>
      </c>
      <c r="F208" s="56" t="str">
        <f t="shared" si="59"/>
        <v/>
      </c>
      <c r="G208" s="56" t="str">
        <f>IF(AND(B207="",B209=""),"",IF(B208="",ROUND(SUM($G$25:G207),2),IF(B208=$E$8,$F$24-ROUND(SUM($G$25:G207),2),ROUND($F$24/$E$8,2))))</f>
        <v/>
      </c>
      <c r="H208" s="56" t="str">
        <f>IF(B207=$E$8,ROUND(SUM($H$25:H207),2),IF(B208&gt;$E$8,"",IF(U208&lt;&gt;U207,ROUND(SUM(W208*$E$9*F207/U208,X208*$E$9*F207/U207),2),ROUND(F207*$E$9*E208/U207,2))))</f>
        <v/>
      </c>
      <c r="I208" s="56" t="str">
        <f>IF(B207=$E$8,SUM($I$25:I207),IF(B207&gt;$E$8,"",G208+H208))</f>
        <v/>
      </c>
      <c r="J208" s="56" t="str">
        <f t="shared" si="61"/>
        <v/>
      </c>
      <c r="K208" s="56" t="str">
        <f t="shared" si="66"/>
        <v/>
      </c>
      <c r="L208" s="56"/>
      <c r="M208" s="56" t="str">
        <f t="shared" si="62"/>
        <v/>
      </c>
      <c r="N208" s="56" t="str">
        <f t="shared" si="58"/>
        <v/>
      </c>
      <c r="O208" s="56" t="str">
        <f t="shared" si="56"/>
        <v/>
      </c>
      <c r="Q208" s="59" t="str">
        <f>IF(B207=$E$8,XIRR(I$24:I207,D$24:D207),"")</f>
        <v/>
      </c>
      <c r="R208" s="56" t="str">
        <f t="shared" si="55"/>
        <v/>
      </c>
      <c r="S208" s="56">
        <f t="shared" si="49"/>
        <v>0</v>
      </c>
      <c r="T208" s="21" t="e">
        <f t="shared" ca="1" si="50"/>
        <v>#VALUE!</v>
      </c>
      <c r="U208" s="21" t="e">
        <f t="shared" ca="1" si="51"/>
        <v>#VALUE!</v>
      </c>
      <c r="V208" s="21" t="e">
        <f t="shared" ca="1" si="52"/>
        <v>#VALUE!</v>
      </c>
      <c r="W208" s="60" t="e">
        <f t="shared" ca="1" si="53"/>
        <v>#VALUE!</v>
      </c>
      <c r="X208" s="61" t="e">
        <f t="shared" ca="1" si="54"/>
        <v>#VALUE!</v>
      </c>
    </row>
    <row r="209" spans="2:24" x14ac:dyDescent="0.25">
      <c r="B209" s="58" t="str">
        <f t="shared" si="48"/>
        <v/>
      </c>
      <c r="C209" s="55" t="str">
        <f t="shared" si="60"/>
        <v/>
      </c>
      <c r="D209" s="55" t="str">
        <f t="shared" ca="1" si="46"/>
        <v xml:space="preserve"> </v>
      </c>
      <c r="E209" s="58" t="str">
        <f t="shared" si="47"/>
        <v/>
      </c>
      <c r="F209" s="56" t="str">
        <f t="shared" si="59"/>
        <v/>
      </c>
      <c r="G209" s="56" t="str">
        <f>IF(AND(B208="",B210=""),"",IF(B209="",ROUND(SUM($G$25:G208),2),IF(B209=$E$8,$F$24-ROUND(SUM($G$25:G208),2),ROUND($F$24/$E$8,2))))</f>
        <v/>
      </c>
      <c r="H209" s="56" t="str">
        <f>IF(B208=$E$8,ROUND(SUM($H$25:H208),2),IF(B209&gt;$E$8,"",IF(U209&lt;&gt;U208,ROUND(SUM(W209*$E$9*F208/U209,X209*$E$9*F208/U208),2),ROUND(F208*$E$9*E209/U208,2))))</f>
        <v/>
      </c>
      <c r="I209" s="56" t="str">
        <f>IF(B208=$E$8,SUM($I$25:I208),IF(B208&gt;$E$8,"",G209+H209))</f>
        <v/>
      </c>
      <c r="J209" s="56" t="str">
        <f t="shared" si="61"/>
        <v/>
      </c>
      <c r="K209" s="56" t="str">
        <f t="shared" si="66"/>
        <v/>
      </c>
      <c r="L209" s="56"/>
      <c r="M209" s="56" t="str">
        <f t="shared" si="62"/>
        <v/>
      </c>
      <c r="N209" s="56" t="str">
        <f t="shared" si="58"/>
        <v/>
      </c>
      <c r="O209" s="56" t="str">
        <f t="shared" si="56"/>
        <v/>
      </c>
      <c r="Q209" s="59" t="str">
        <f>IF(B208=$E$8,XIRR(I$24:I208,D$24:D208),"")</f>
        <v/>
      </c>
      <c r="R209" s="56" t="str">
        <f t="shared" si="55"/>
        <v/>
      </c>
      <c r="S209" s="56">
        <f t="shared" si="49"/>
        <v>0</v>
      </c>
      <c r="T209" s="21" t="e">
        <f t="shared" ca="1" si="50"/>
        <v>#VALUE!</v>
      </c>
      <c r="U209" s="21" t="e">
        <f t="shared" ca="1" si="51"/>
        <v>#VALUE!</v>
      </c>
      <c r="V209" s="21" t="e">
        <f t="shared" ca="1" si="52"/>
        <v>#VALUE!</v>
      </c>
      <c r="W209" s="60" t="e">
        <f t="shared" ca="1" si="53"/>
        <v>#VALUE!</v>
      </c>
      <c r="X209" s="61" t="e">
        <f t="shared" ca="1" si="54"/>
        <v>#VALUE!</v>
      </c>
    </row>
    <row r="210" spans="2:24" x14ac:dyDescent="0.25">
      <c r="B210" s="58" t="str">
        <f t="shared" si="48"/>
        <v/>
      </c>
      <c r="C210" s="55" t="str">
        <f t="shared" si="60"/>
        <v/>
      </c>
      <c r="D210" s="55" t="str">
        <f t="shared" ca="1" si="46"/>
        <v xml:space="preserve"> </v>
      </c>
      <c r="E210" s="58" t="str">
        <f t="shared" si="47"/>
        <v/>
      </c>
      <c r="F210" s="56" t="str">
        <f t="shared" si="59"/>
        <v/>
      </c>
      <c r="G210" s="56" t="str">
        <f>IF(AND(B209="",B211=""),"",IF(B210="",ROUND(SUM($G$25:G209),2),IF(B210=$E$8,$F$24-ROUND(SUM($G$25:G209),2),ROUND($F$24/$E$8,2))))</f>
        <v/>
      </c>
      <c r="H210" s="56" t="str">
        <f>IF(B209=$E$8,ROUND(SUM($H$25:H209),2),IF(B210&gt;$E$8,"",IF(U210&lt;&gt;U209,ROUND(SUM(W210*$E$9*F209/U210,X210*$E$9*F209/U209),2),ROUND(F209*$E$9*E210/U209,2))))</f>
        <v/>
      </c>
      <c r="I210" s="56" t="str">
        <f>IF(B209=$E$8,SUM($I$25:I209),IF(B209&gt;$E$8,"",G210+H210))</f>
        <v/>
      </c>
      <c r="J210" s="56" t="str">
        <f t="shared" si="61"/>
        <v/>
      </c>
      <c r="K210" s="56" t="str">
        <f t="shared" si="66"/>
        <v/>
      </c>
      <c r="L210" s="56"/>
      <c r="M210" s="56" t="str">
        <f t="shared" si="62"/>
        <v/>
      </c>
      <c r="N210" s="56" t="str">
        <f t="shared" si="58"/>
        <v/>
      </c>
      <c r="O210" s="56" t="str">
        <f t="shared" si="56"/>
        <v/>
      </c>
      <c r="Q210" s="59" t="str">
        <f>IF(B209=$E$8,XIRR(I$24:I209,D$24:D209),"")</f>
        <v/>
      </c>
      <c r="R210" s="56" t="str">
        <f t="shared" si="55"/>
        <v/>
      </c>
      <c r="S210" s="56">
        <f t="shared" si="49"/>
        <v>0</v>
      </c>
      <c r="T210" s="21" t="e">
        <f t="shared" ca="1" si="50"/>
        <v>#VALUE!</v>
      </c>
      <c r="U210" s="21" t="e">
        <f t="shared" ca="1" si="51"/>
        <v>#VALUE!</v>
      </c>
      <c r="V210" s="21" t="e">
        <f t="shared" ca="1" si="52"/>
        <v>#VALUE!</v>
      </c>
      <c r="W210" s="60" t="e">
        <f t="shared" ca="1" si="53"/>
        <v>#VALUE!</v>
      </c>
      <c r="X210" s="61" t="e">
        <f t="shared" ca="1" si="54"/>
        <v>#VALUE!</v>
      </c>
    </row>
    <row r="211" spans="2:24" x14ac:dyDescent="0.25">
      <c r="B211" s="58" t="str">
        <f t="shared" si="48"/>
        <v/>
      </c>
      <c r="C211" s="55" t="str">
        <f t="shared" si="60"/>
        <v/>
      </c>
      <c r="D211" s="55" t="str">
        <f t="shared" ca="1" si="46"/>
        <v xml:space="preserve"> </v>
      </c>
      <c r="E211" s="58" t="str">
        <f t="shared" si="47"/>
        <v/>
      </c>
      <c r="F211" s="56" t="str">
        <f t="shared" si="59"/>
        <v/>
      </c>
      <c r="G211" s="56" t="str">
        <f>IF(AND(B210="",B212=""),"",IF(B211="",ROUND(SUM($G$25:G210),2),IF(B211=$E$8,$F$24-ROUND(SUM($G$25:G210),2),ROUND($F$24/$E$8,2))))</f>
        <v/>
      </c>
      <c r="H211" s="56" t="str">
        <f>IF(B210=$E$8,ROUND(SUM($H$25:H210),2),IF(B211&gt;$E$8,"",IF(U211&lt;&gt;U210,ROUND(SUM(W211*$E$9*F210/U211,X211*$E$9*F210/U210),2),ROUND(F210*$E$9*E211/U210,2))))</f>
        <v/>
      </c>
      <c r="I211" s="56" t="str">
        <f>IF(B210=$E$8,SUM($I$25:I210),IF(B210&gt;$E$8,"",G211+H211))</f>
        <v/>
      </c>
      <c r="J211" s="56" t="str">
        <f t="shared" si="61"/>
        <v/>
      </c>
      <c r="K211" s="56" t="str">
        <f t="shared" si="66"/>
        <v/>
      </c>
      <c r="L211" s="56"/>
      <c r="M211" s="56" t="str">
        <f t="shared" si="62"/>
        <v/>
      </c>
      <c r="N211" s="56" t="str">
        <f t="shared" si="58"/>
        <v/>
      </c>
      <c r="O211" s="56" t="str">
        <f t="shared" si="56"/>
        <v/>
      </c>
      <c r="Q211" s="59" t="str">
        <f>IF(B210=$E$8,XIRR(I$24:I210,D$24:D210),"")</f>
        <v/>
      </c>
      <c r="R211" s="56" t="str">
        <f t="shared" si="55"/>
        <v/>
      </c>
      <c r="S211" s="56">
        <f t="shared" si="49"/>
        <v>0</v>
      </c>
      <c r="T211" s="21" t="e">
        <f t="shared" ca="1" si="50"/>
        <v>#VALUE!</v>
      </c>
      <c r="U211" s="21" t="e">
        <f t="shared" ca="1" si="51"/>
        <v>#VALUE!</v>
      </c>
      <c r="V211" s="21" t="e">
        <f t="shared" ca="1" si="52"/>
        <v>#VALUE!</v>
      </c>
      <c r="W211" s="60" t="e">
        <f t="shared" ca="1" si="53"/>
        <v>#VALUE!</v>
      </c>
      <c r="X211" s="61" t="e">
        <f t="shared" ca="1" si="54"/>
        <v>#VALUE!</v>
      </c>
    </row>
    <row r="212" spans="2:24" x14ac:dyDescent="0.25">
      <c r="B212" s="58" t="str">
        <f t="shared" si="48"/>
        <v/>
      </c>
      <c r="C212" s="55" t="str">
        <f t="shared" si="60"/>
        <v/>
      </c>
      <c r="D212" s="55" t="str">
        <f t="shared" ca="1" si="46"/>
        <v xml:space="preserve"> </v>
      </c>
      <c r="E212" s="58" t="str">
        <f t="shared" si="47"/>
        <v/>
      </c>
      <c r="F212" s="56" t="str">
        <f t="shared" si="59"/>
        <v/>
      </c>
      <c r="G212" s="56" t="str">
        <f>IF(AND(B211="",B213=""),"",IF(B212="",ROUND(SUM($G$25:G211),2),IF(B212=$E$8,$F$24-ROUND(SUM($G$25:G211),2),ROUND($F$24/$E$8,2))))</f>
        <v/>
      </c>
      <c r="H212" s="56" t="str">
        <f>IF(B211=$E$8,ROUND(SUM($H$25:H211),2),IF(B212&gt;$E$8,"",IF(U212&lt;&gt;U211,ROUND(SUM(W212*$E$9*F211/U212,X212*$E$9*F211/U211),2),ROUND(F211*$E$9*E212/U211,2))))</f>
        <v/>
      </c>
      <c r="I212" s="56" t="str">
        <f>IF(B211=$E$8,SUM($I$25:I211),IF(B211&gt;$E$8,"",G212+H212))</f>
        <v/>
      </c>
      <c r="J212" s="56" t="str">
        <f t="shared" si="61"/>
        <v/>
      </c>
      <c r="K212" s="56" t="str">
        <f t="shared" si="66"/>
        <v/>
      </c>
      <c r="L212" s="56"/>
      <c r="M212" s="56" t="str">
        <f t="shared" si="62"/>
        <v/>
      </c>
      <c r="N212" s="56" t="str">
        <f t="shared" si="58"/>
        <v/>
      </c>
      <c r="O212" s="56" t="str">
        <f t="shared" si="56"/>
        <v/>
      </c>
      <c r="Q212" s="59" t="str">
        <f>IF(B211=$E$8,XIRR(I$24:I211,D$24:D211),"")</f>
        <v/>
      </c>
      <c r="R212" s="56" t="str">
        <f t="shared" si="55"/>
        <v/>
      </c>
      <c r="S212" s="56">
        <f t="shared" si="49"/>
        <v>0</v>
      </c>
      <c r="T212" s="21" t="e">
        <f t="shared" ca="1" si="50"/>
        <v>#VALUE!</v>
      </c>
      <c r="U212" s="21" t="e">
        <f t="shared" ca="1" si="51"/>
        <v>#VALUE!</v>
      </c>
      <c r="V212" s="21" t="e">
        <f t="shared" ca="1" si="52"/>
        <v>#VALUE!</v>
      </c>
      <c r="W212" s="60" t="e">
        <f t="shared" ca="1" si="53"/>
        <v>#VALUE!</v>
      </c>
      <c r="X212" s="61" t="e">
        <f t="shared" ca="1" si="54"/>
        <v>#VALUE!</v>
      </c>
    </row>
    <row r="213" spans="2:24" x14ac:dyDescent="0.25">
      <c r="B213" s="58" t="str">
        <f t="shared" si="48"/>
        <v/>
      </c>
      <c r="C213" s="55" t="str">
        <f t="shared" si="60"/>
        <v/>
      </c>
      <c r="D213" s="55" t="str">
        <f t="shared" ref="D213:D264" ca="1" si="67">IF(C213=$E$10,C213-1,(IF(C213&gt;$E$10," ",C213)))</f>
        <v xml:space="preserve"> </v>
      </c>
      <c r="E213" s="58" t="str">
        <f t="shared" ref="E213:E264" si="68">IF(B213&gt;$E$8,"",D213-D212)</f>
        <v/>
      </c>
      <c r="F213" s="56" t="str">
        <f t="shared" si="59"/>
        <v/>
      </c>
      <c r="G213" s="56" t="str">
        <f>IF(AND(B212="",B214=""),"",IF(B213="",ROUND(SUM($G$25:G212),2),IF(B213=$E$8,$F$24-ROUND(SUM($G$25:G212),2),ROUND($F$24/$E$8,2))))</f>
        <v/>
      </c>
      <c r="H213" s="56" t="str">
        <f>IF(B212=$E$8,ROUND(SUM($H$25:H212),2),IF(B213&gt;$E$8,"",IF(U213&lt;&gt;U212,ROUND(SUM(W213*$E$9*F212/U213,X213*$E$9*F212/U212),2),ROUND(F212*$E$9*E213/U212,2))))</f>
        <v/>
      </c>
      <c r="I213" s="56" t="str">
        <f>IF(B212=$E$8,SUM($I$25:I212),IF(B212&gt;$E$8,"",G213+H213))</f>
        <v/>
      </c>
      <c r="J213" s="56" t="str">
        <f t="shared" si="61"/>
        <v/>
      </c>
      <c r="K213" s="56" t="str">
        <f t="shared" si="66"/>
        <v/>
      </c>
      <c r="L213" s="56"/>
      <c r="M213" s="56" t="str">
        <f t="shared" si="62"/>
        <v/>
      </c>
      <c r="N213" s="56" t="str">
        <f t="shared" si="58"/>
        <v/>
      </c>
      <c r="O213" s="56" t="str">
        <f t="shared" si="56"/>
        <v/>
      </c>
      <c r="Q213" s="59" t="str">
        <f>IF(B212=$E$8,XIRR(I$24:I212,D$24:D212),"")</f>
        <v/>
      </c>
      <c r="R213" s="56" t="str">
        <f t="shared" si="55"/>
        <v/>
      </c>
      <c r="S213" s="56">
        <f t="shared" si="49"/>
        <v>0</v>
      </c>
      <c r="T213" s="21" t="e">
        <f t="shared" ca="1" si="50"/>
        <v>#VALUE!</v>
      </c>
      <c r="U213" s="21" t="e">
        <f t="shared" ca="1" si="51"/>
        <v>#VALUE!</v>
      </c>
      <c r="V213" s="21" t="e">
        <f t="shared" ca="1" si="52"/>
        <v>#VALUE!</v>
      </c>
      <c r="W213" s="60" t="e">
        <f t="shared" ca="1" si="53"/>
        <v>#VALUE!</v>
      </c>
      <c r="X213" s="61" t="e">
        <f t="shared" ca="1" si="54"/>
        <v>#VALUE!</v>
      </c>
    </row>
    <row r="214" spans="2:24" x14ac:dyDescent="0.25">
      <c r="B214" s="58" t="str">
        <f t="shared" si="48"/>
        <v/>
      </c>
      <c r="C214" s="55" t="str">
        <f t="shared" si="60"/>
        <v/>
      </c>
      <c r="D214" s="55" t="str">
        <f t="shared" ca="1" si="67"/>
        <v xml:space="preserve"> </v>
      </c>
      <c r="E214" s="58" t="str">
        <f t="shared" si="68"/>
        <v/>
      </c>
      <c r="F214" s="56" t="str">
        <f t="shared" si="59"/>
        <v/>
      </c>
      <c r="G214" s="56" t="str">
        <f>IF(AND(B213="",B215=""),"",IF(B214="",ROUND(SUM($G$25:G213),2),IF(B214=$E$8,$F$24-ROUND(SUM($G$25:G213),2),ROUND($F$24/$E$8,2))))</f>
        <v/>
      </c>
      <c r="H214" s="56" t="str">
        <f>IF(B213=$E$8,ROUND(SUM($H$25:H213),2),IF(B214&gt;$E$8,"",IF(U214&lt;&gt;U213,ROUND(SUM(W214*$E$9*F213/U214,X214*$E$9*F213/U213),2),ROUND(F213*$E$9*E214/U213,2))))</f>
        <v/>
      </c>
      <c r="I214" s="56" t="str">
        <f>IF(B213=$E$8,SUM($I$25:I213),IF(B213&gt;$E$8,"",G214+H214))</f>
        <v/>
      </c>
      <c r="J214" s="56" t="str">
        <f t="shared" si="61"/>
        <v/>
      </c>
      <c r="K214" s="56" t="str">
        <f t="shared" si="66"/>
        <v/>
      </c>
      <c r="L214" s="56"/>
      <c r="M214" s="56" t="str">
        <f t="shared" si="62"/>
        <v/>
      </c>
      <c r="N214" s="56" t="str">
        <f t="shared" si="58"/>
        <v/>
      </c>
      <c r="O214" s="56" t="str">
        <f t="shared" si="56"/>
        <v/>
      </c>
      <c r="Q214" s="59" t="str">
        <f>IF(B213=$E$8,XIRR(I$24:I213,D$24:D213),"")</f>
        <v/>
      </c>
      <c r="R214" s="56" t="str">
        <f t="shared" si="55"/>
        <v/>
      </c>
      <c r="S214" s="56">
        <f t="shared" si="49"/>
        <v>0</v>
      </c>
      <c r="T214" s="21" t="e">
        <f t="shared" ca="1" si="50"/>
        <v>#VALUE!</v>
      </c>
      <c r="U214" s="21" t="e">
        <f t="shared" ca="1" si="51"/>
        <v>#VALUE!</v>
      </c>
      <c r="V214" s="21" t="e">
        <f t="shared" ca="1" si="52"/>
        <v>#VALUE!</v>
      </c>
      <c r="W214" s="60" t="e">
        <f t="shared" ca="1" si="53"/>
        <v>#VALUE!</v>
      </c>
      <c r="X214" s="61" t="e">
        <f t="shared" ca="1" si="54"/>
        <v>#VALUE!</v>
      </c>
    </row>
    <row r="215" spans="2:24" x14ac:dyDescent="0.25">
      <c r="B215" s="58" t="str">
        <f t="shared" si="48"/>
        <v/>
      </c>
      <c r="C215" s="55" t="str">
        <f t="shared" si="60"/>
        <v/>
      </c>
      <c r="D215" s="55" t="str">
        <f t="shared" ca="1" si="67"/>
        <v xml:space="preserve"> </v>
      </c>
      <c r="E215" s="58" t="str">
        <f t="shared" si="68"/>
        <v/>
      </c>
      <c r="F215" s="56" t="str">
        <f t="shared" si="59"/>
        <v/>
      </c>
      <c r="G215" s="56" t="str">
        <f>IF(AND(B214="",B216=""),"",IF(B215="",ROUND(SUM($G$25:G214),2),IF(B215=$E$8,$F$24-ROUND(SUM($G$25:G214),2),ROUND($F$24/$E$8,2))))</f>
        <v/>
      </c>
      <c r="H215" s="56" t="str">
        <f>IF(B214=$E$8,ROUND(SUM($H$25:H214),2),IF(B215&gt;$E$8,"",IF(U215&lt;&gt;U214,ROUND(SUM(W215*$E$9*F214/U215,X215*$E$9*F214/U214),2),ROUND(F214*$E$9*E215/U214,2))))</f>
        <v/>
      </c>
      <c r="I215" s="56" t="str">
        <f>IF(B214=$E$8,SUM($I$25:I214),IF(B214&gt;$E$8,"",G215+H215))</f>
        <v/>
      </c>
      <c r="J215" s="56" t="str">
        <f t="shared" si="61"/>
        <v/>
      </c>
      <c r="K215" s="56" t="str">
        <f t="shared" si="66"/>
        <v/>
      </c>
      <c r="L215" s="56"/>
      <c r="M215" s="56" t="str">
        <f t="shared" si="62"/>
        <v/>
      </c>
      <c r="N215" s="56" t="str">
        <f t="shared" si="58"/>
        <v/>
      </c>
      <c r="O215" s="56" t="str">
        <f t="shared" si="56"/>
        <v/>
      </c>
      <c r="Q215" s="59" t="str">
        <f>IF(B214=$E$8,XIRR(I$24:I214,D$24:D214),"")</f>
        <v/>
      </c>
      <c r="R215" s="56" t="str">
        <f t="shared" si="55"/>
        <v/>
      </c>
      <c r="S215" s="56">
        <f t="shared" si="49"/>
        <v>0</v>
      </c>
      <c r="T215" s="21" t="e">
        <f t="shared" ca="1" si="50"/>
        <v>#VALUE!</v>
      </c>
      <c r="U215" s="21" t="e">
        <f t="shared" ca="1" si="51"/>
        <v>#VALUE!</v>
      </c>
      <c r="V215" s="21" t="e">
        <f t="shared" ca="1" si="52"/>
        <v>#VALUE!</v>
      </c>
      <c r="W215" s="60" t="e">
        <f t="shared" ca="1" si="53"/>
        <v>#VALUE!</v>
      </c>
      <c r="X215" s="61" t="e">
        <f t="shared" ca="1" si="54"/>
        <v>#VALUE!</v>
      </c>
    </row>
    <row r="216" spans="2:24" x14ac:dyDescent="0.25">
      <c r="B216" s="58" t="str">
        <f t="shared" si="48"/>
        <v/>
      </c>
      <c r="C216" s="55" t="str">
        <f t="shared" si="60"/>
        <v/>
      </c>
      <c r="D216" s="55" t="str">
        <f t="shared" ca="1" si="67"/>
        <v xml:space="preserve"> </v>
      </c>
      <c r="E216" s="58" t="str">
        <f t="shared" si="68"/>
        <v/>
      </c>
      <c r="F216" s="56" t="str">
        <f t="shared" si="59"/>
        <v/>
      </c>
      <c r="G216" s="56" t="str">
        <f>IF(AND(B215="",B217=""),"",IF(B216="",ROUND(SUM($G$25:G215),2),IF(B216=$E$8,$F$24-ROUND(SUM($G$25:G215),2),ROUND($F$24/$E$8,2))))</f>
        <v/>
      </c>
      <c r="H216" s="56" t="str">
        <f>IF(B215=$E$8,ROUND(SUM($H$25:H215),2),IF(B216&gt;$E$8,"",IF(U216&lt;&gt;U215,ROUND(SUM(W216*$E$9*F215/U216,X216*$E$9*F215/U215),2),ROUND(F215*$E$9*E216/U215,2))))</f>
        <v/>
      </c>
      <c r="I216" s="56" t="str">
        <f>IF(B215=$E$8,SUM($I$25:I215),IF(B215&gt;$E$8,"",G216+H216))</f>
        <v/>
      </c>
      <c r="J216" s="56" t="str">
        <f t="shared" si="61"/>
        <v/>
      </c>
      <c r="K216" s="56" t="str">
        <f t="shared" si="66"/>
        <v/>
      </c>
      <c r="L216" s="56"/>
      <c r="M216" s="56" t="str">
        <f t="shared" si="62"/>
        <v/>
      </c>
      <c r="N216" s="56" t="str">
        <f t="shared" si="58"/>
        <v/>
      </c>
      <c r="O216" s="56" t="str">
        <f t="shared" si="56"/>
        <v/>
      </c>
      <c r="Q216" s="59" t="str">
        <f>IF(B215=$E$8,XIRR(I$24:I215,D$24:D215),"")</f>
        <v/>
      </c>
      <c r="R216" s="56" t="str">
        <f t="shared" si="55"/>
        <v/>
      </c>
      <c r="S216" s="56">
        <f t="shared" si="49"/>
        <v>0</v>
      </c>
      <c r="T216" s="21" t="e">
        <f t="shared" ca="1" si="50"/>
        <v>#VALUE!</v>
      </c>
      <c r="U216" s="21" t="e">
        <f t="shared" ca="1" si="51"/>
        <v>#VALUE!</v>
      </c>
      <c r="V216" s="21" t="e">
        <f t="shared" ca="1" si="52"/>
        <v>#VALUE!</v>
      </c>
      <c r="W216" s="60" t="e">
        <f t="shared" ca="1" si="53"/>
        <v>#VALUE!</v>
      </c>
      <c r="X216" s="61" t="e">
        <f t="shared" ca="1" si="54"/>
        <v>#VALUE!</v>
      </c>
    </row>
    <row r="217" spans="2:24" x14ac:dyDescent="0.25">
      <c r="B217" s="58" t="str">
        <f t="shared" si="48"/>
        <v/>
      </c>
      <c r="C217" s="55" t="str">
        <f t="shared" si="60"/>
        <v/>
      </c>
      <c r="D217" s="55" t="str">
        <f t="shared" ca="1" si="67"/>
        <v xml:space="preserve"> </v>
      </c>
      <c r="E217" s="58" t="str">
        <f t="shared" si="68"/>
        <v/>
      </c>
      <c r="F217" s="56" t="str">
        <f t="shared" si="59"/>
        <v/>
      </c>
      <c r="G217" s="56" t="str">
        <f>IF(AND(B216="",B218=""),"",IF(B217="",ROUND(SUM($G$25:G216),2),IF(B217=$E$8,$F$24-ROUND(SUM($G$25:G216),2),ROUND($F$24/$E$8,2))))</f>
        <v/>
      </c>
      <c r="H217" s="56" t="str">
        <f>IF(B216=$E$8,ROUND(SUM($H$25:H216),2),IF(B217&gt;$E$8,"",IF(U217&lt;&gt;U216,ROUND(SUM(W217*$E$9*F216/U217,X217*$E$9*F216/U216),2),ROUND(F216*$E$9*E217/U216,2))))</f>
        <v/>
      </c>
      <c r="I217" s="56" t="str">
        <f>IF(B216=$E$8,SUM($I$25:I216),IF(B216&gt;$E$8,"",G217+H217))</f>
        <v/>
      </c>
      <c r="J217" s="56" t="str">
        <f t="shared" si="61"/>
        <v/>
      </c>
      <c r="K217" s="56" t="str">
        <f>IF($E$8&gt;B216,$O$9,IF($E$8=B216,SUM($K$24:K216)," "))</f>
        <v xml:space="preserve"> </v>
      </c>
      <c r="L217" s="56" t="str">
        <f>IF($E$8&gt;B216,($P$8+$O$10*F216),IF(B216=$E$8,$L$37+$L$24+$L$49+$L$61+$L$73+$L$85+$L$97+$L$109+$L$121+$L$133+$L$145+$L$157+$L$169+$L$181+$L$193+$L$205,""))</f>
        <v/>
      </c>
      <c r="M217" s="56" t="str">
        <f t="shared" si="62"/>
        <v/>
      </c>
      <c r="N217" s="56" t="str">
        <f t="shared" si="58"/>
        <v/>
      </c>
      <c r="O217" s="56" t="str">
        <f t="shared" si="56"/>
        <v/>
      </c>
      <c r="Q217" s="59" t="str">
        <f>IF(B216=$E$8,XIRR(I$24:I216,D$24:D216),"")</f>
        <v/>
      </c>
      <c r="R217" s="56" t="str">
        <f t="shared" si="55"/>
        <v/>
      </c>
      <c r="S217" s="56">
        <f t="shared" si="49"/>
        <v>0</v>
      </c>
      <c r="T217" s="21" t="e">
        <f t="shared" ca="1" si="50"/>
        <v>#VALUE!</v>
      </c>
      <c r="U217" s="21" t="e">
        <f t="shared" ca="1" si="51"/>
        <v>#VALUE!</v>
      </c>
      <c r="V217" s="21" t="e">
        <f t="shared" ca="1" si="52"/>
        <v>#VALUE!</v>
      </c>
      <c r="W217" s="60" t="e">
        <f t="shared" ca="1" si="53"/>
        <v>#VALUE!</v>
      </c>
      <c r="X217" s="61" t="e">
        <f t="shared" ca="1" si="54"/>
        <v>#VALUE!</v>
      </c>
    </row>
    <row r="218" spans="2:24" x14ac:dyDescent="0.25">
      <c r="B218" s="58" t="str">
        <f t="shared" ref="B218:B266" si="69">IF(B217&lt;$E$8,B217+1,"")</f>
        <v/>
      </c>
      <c r="C218" s="55" t="str">
        <f t="shared" si="60"/>
        <v/>
      </c>
      <c r="D218" s="55" t="str">
        <f t="shared" ca="1" si="67"/>
        <v xml:space="preserve"> </v>
      </c>
      <c r="E218" s="58" t="str">
        <f t="shared" si="68"/>
        <v/>
      </c>
      <c r="F218" s="56" t="str">
        <f t="shared" si="59"/>
        <v/>
      </c>
      <c r="G218" s="56" t="str">
        <f>IF(AND(B217="",B219=""),"",IF(B218="",ROUND(SUM($G$25:G217),2),IF(B218=$E$8,$F$24-ROUND(SUM($G$25:G217),2),ROUND($F$24/$E$8,2))))</f>
        <v/>
      </c>
      <c r="H218" s="56" t="str">
        <f>IF(B217=$E$8,ROUND(SUM($H$25:H217),2),IF(B218&gt;$E$8,"",IF(U218&lt;&gt;U217,ROUND(SUM(W218*$E$9*F217/U218,X218*$E$9*F217/U217),2),ROUND(F217*$E$9*E218/U217,2))))</f>
        <v/>
      </c>
      <c r="I218" s="56" t="str">
        <f>IF(B217=$E$8,SUM($I$25:I217),IF(B217&gt;$E$8,"",G218+H218))</f>
        <v/>
      </c>
      <c r="J218" s="56" t="str">
        <f t="shared" si="61"/>
        <v/>
      </c>
      <c r="K218" s="56" t="str">
        <f t="shared" ref="K218:K228" si="70">IF(B217=$E$8,$K$24,"")</f>
        <v/>
      </c>
      <c r="L218" s="56"/>
      <c r="M218" s="56" t="str">
        <f t="shared" si="62"/>
        <v/>
      </c>
      <c r="N218" s="56" t="str">
        <f t="shared" si="58"/>
        <v/>
      </c>
      <c r="O218" s="56" t="str">
        <f t="shared" si="56"/>
        <v/>
      </c>
      <c r="Q218" s="59" t="str">
        <f>IF(B217=$E$8,XIRR(I$24:I217,D$24:D217),"")</f>
        <v/>
      </c>
      <c r="R218" s="56" t="str">
        <f t="shared" si="55"/>
        <v/>
      </c>
      <c r="S218" s="56">
        <f t="shared" ref="S218:S264" si="71">SUM(I218:R218)</f>
        <v>0</v>
      </c>
      <c r="T218" s="21" t="e">
        <f t="shared" ref="T218:T265" ca="1" si="72">IF(D218="","",YEAR(D218))</f>
        <v>#VALUE!</v>
      </c>
      <c r="U218" s="21" t="e">
        <f t="shared" ref="U218:U264" ca="1" si="73">IF(OR(T218=2024,T218=2028,T218=2016,T218=2020,T218=2024,T218=2028,T218=2032,T218=2036,T218=2040),366,365)</f>
        <v>#VALUE!</v>
      </c>
      <c r="V218" s="21" t="e">
        <f t="shared" ref="V218:V264" ca="1" si="74">IF(D218="","",DAY(D218))</f>
        <v>#VALUE!</v>
      </c>
      <c r="W218" s="60" t="e">
        <f t="shared" ref="W218:W264" ca="1" si="75">V218-1</f>
        <v>#VALUE!</v>
      </c>
      <c r="X218" s="61" t="e">
        <f t="shared" ref="X218:X264" ca="1" si="76">E218-W218</f>
        <v>#VALUE!</v>
      </c>
    </row>
    <row r="219" spans="2:24" x14ac:dyDescent="0.25">
      <c r="B219" s="58" t="str">
        <f t="shared" si="69"/>
        <v/>
      </c>
      <c r="C219" s="55" t="str">
        <f t="shared" si="60"/>
        <v/>
      </c>
      <c r="D219" s="55" t="str">
        <f t="shared" ca="1" si="67"/>
        <v xml:space="preserve"> </v>
      </c>
      <c r="E219" s="58" t="str">
        <f t="shared" si="68"/>
        <v/>
      </c>
      <c r="F219" s="56" t="str">
        <f t="shared" si="59"/>
        <v/>
      </c>
      <c r="G219" s="56" t="str">
        <f>IF(AND(B218="",B220=""),"",IF(B219="",ROUND(SUM($G$25:G218),2),IF(B219=$E$8,$F$24-ROUND(SUM($G$25:G218),2),ROUND($F$24/$E$8,2))))</f>
        <v/>
      </c>
      <c r="H219" s="56" t="str">
        <f>IF(B218=$E$8,ROUND(SUM($H$25:H218),2),IF(B219&gt;$E$8,"",IF(U219&lt;&gt;U218,ROUND(SUM(W219*$E$9*F218/U219,X219*$E$9*F218/U218),2),ROUND(F218*$E$9*E219/U218,2))))</f>
        <v/>
      </c>
      <c r="I219" s="56" t="str">
        <f>IF(B218=$E$8,SUM($I$25:I218),IF(B218&gt;$E$8,"",G219+H219))</f>
        <v/>
      </c>
      <c r="J219" s="56" t="str">
        <f t="shared" si="61"/>
        <v/>
      </c>
      <c r="K219" s="56" t="str">
        <f t="shared" si="70"/>
        <v/>
      </c>
      <c r="L219" s="56"/>
      <c r="M219" s="56" t="str">
        <f t="shared" si="62"/>
        <v/>
      </c>
      <c r="N219" s="56" t="str">
        <f t="shared" si="58"/>
        <v/>
      </c>
      <c r="O219" s="56" t="str">
        <f t="shared" si="56"/>
        <v/>
      </c>
      <c r="Q219" s="59" t="str">
        <f>IF(B218=$E$8,XIRR(I$24:I218,D$24:D218),"")</f>
        <v/>
      </c>
      <c r="R219" s="56" t="str">
        <f t="shared" ref="R219:R265" si="77">IF(B218=$E$8,H219+N219+G219+J219+K219+L219+M219+O219+P219,"")</f>
        <v/>
      </c>
      <c r="S219" s="56">
        <f t="shared" si="71"/>
        <v>0</v>
      </c>
      <c r="T219" s="21" t="e">
        <f t="shared" ca="1" si="72"/>
        <v>#VALUE!</v>
      </c>
      <c r="U219" s="21" t="e">
        <f t="shared" ca="1" si="73"/>
        <v>#VALUE!</v>
      </c>
      <c r="V219" s="21" t="e">
        <f t="shared" ca="1" si="74"/>
        <v>#VALUE!</v>
      </c>
      <c r="W219" s="60" t="e">
        <f t="shared" ca="1" si="75"/>
        <v>#VALUE!</v>
      </c>
      <c r="X219" s="61" t="e">
        <f t="shared" ca="1" si="76"/>
        <v>#VALUE!</v>
      </c>
    </row>
    <row r="220" spans="2:24" x14ac:dyDescent="0.25">
      <c r="B220" s="58" t="str">
        <f t="shared" si="69"/>
        <v/>
      </c>
      <c r="C220" s="55" t="str">
        <f t="shared" si="60"/>
        <v/>
      </c>
      <c r="D220" s="55" t="str">
        <f t="shared" ca="1" si="67"/>
        <v xml:space="preserve"> </v>
      </c>
      <c r="E220" s="58" t="str">
        <f t="shared" si="68"/>
        <v/>
      </c>
      <c r="F220" s="56" t="str">
        <f t="shared" si="59"/>
        <v/>
      </c>
      <c r="G220" s="56" t="str">
        <f>IF(AND(B219="",B221=""),"",IF(B220="",ROUND(SUM($G$25:G219),2),IF(B220=$E$8,$F$24-ROUND(SUM($G$25:G219),2),ROUND($F$24/$E$8,2))))</f>
        <v/>
      </c>
      <c r="H220" s="56" t="str">
        <f>IF(B219=$E$8,ROUND(SUM($H$25:H219),2),IF(B220&gt;$E$8,"",IF(U220&lt;&gt;U219,ROUND(SUM(W220*$E$9*F219/U220,X220*$E$9*F219/U219),2),ROUND(F219*$E$9*E220/U219,2))))</f>
        <v/>
      </c>
      <c r="I220" s="56" t="str">
        <f>IF(B219=$E$8,SUM($I$25:I219),IF(B219&gt;$E$8,"",G220+H220))</f>
        <v/>
      </c>
      <c r="J220" s="56" t="str">
        <f t="shared" si="61"/>
        <v/>
      </c>
      <c r="K220" s="56" t="str">
        <f t="shared" si="70"/>
        <v/>
      </c>
      <c r="L220" s="56"/>
      <c r="M220" s="56" t="str">
        <f t="shared" si="62"/>
        <v/>
      </c>
      <c r="N220" s="56" t="str">
        <f t="shared" si="58"/>
        <v/>
      </c>
      <c r="O220" s="56" t="str">
        <f t="shared" si="56"/>
        <v/>
      </c>
      <c r="Q220" s="59" t="str">
        <f>IF(B219=$E$8,XIRR(I$24:I219,D$24:D219),"")</f>
        <v/>
      </c>
      <c r="R220" s="56" t="str">
        <f t="shared" si="77"/>
        <v/>
      </c>
      <c r="S220" s="56">
        <f t="shared" si="71"/>
        <v>0</v>
      </c>
      <c r="T220" s="21" t="e">
        <f t="shared" ca="1" si="72"/>
        <v>#VALUE!</v>
      </c>
      <c r="U220" s="21" t="e">
        <f t="shared" ca="1" si="73"/>
        <v>#VALUE!</v>
      </c>
      <c r="V220" s="21" t="e">
        <f t="shared" ca="1" si="74"/>
        <v>#VALUE!</v>
      </c>
      <c r="W220" s="60" t="e">
        <f t="shared" ca="1" si="75"/>
        <v>#VALUE!</v>
      </c>
      <c r="X220" s="61" t="e">
        <f t="shared" ca="1" si="76"/>
        <v>#VALUE!</v>
      </c>
    </row>
    <row r="221" spans="2:24" x14ac:dyDescent="0.25">
      <c r="B221" s="58" t="str">
        <f t="shared" si="69"/>
        <v/>
      </c>
      <c r="C221" s="55" t="str">
        <f t="shared" si="60"/>
        <v/>
      </c>
      <c r="D221" s="55" t="str">
        <f t="shared" ca="1" si="67"/>
        <v xml:space="preserve"> </v>
      </c>
      <c r="E221" s="58" t="str">
        <f t="shared" si="68"/>
        <v/>
      </c>
      <c r="F221" s="56" t="str">
        <f t="shared" si="59"/>
        <v/>
      </c>
      <c r="G221" s="56" t="str">
        <f>IF(AND(B220="",B222=""),"",IF(B221="",ROUND(SUM($G$25:G220),2),IF(B221=$E$8,$F$24-ROUND(SUM($G$25:G220),2),ROUND($F$24/$E$8,2))))</f>
        <v/>
      </c>
      <c r="H221" s="56" t="str">
        <f>IF(B220=$E$8,ROUND(SUM($H$25:H220),2),IF(B221&gt;$E$8,"",IF(U221&lt;&gt;U220,ROUND(SUM(W221*$E$9*F220/U221,X221*$E$9*F220/U220),2),ROUND(F220*$E$9*E221/U220,2))))</f>
        <v/>
      </c>
      <c r="I221" s="56" t="str">
        <f>IF(B220=$E$8,SUM($I$25:I220),IF(B220&gt;$E$8,"",G221+H221))</f>
        <v/>
      </c>
      <c r="J221" s="56" t="str">
        <f t="shared" si="61"/>
        <v/>
      </c>
      <c r="K221" s="56" t="str">
        <f t="shared" si="70"/>
        <v/>
      </c>
      <c r="L221" s="56"/>
      <c r="M221" s="56" t="str">
        <f t="shared" si="62"/>
        <v/>
      </c>
      <c r="N221" s="56" t="str">
        <f t="shared" si="58"/>
        <v/>
      </c>
      <c r="O221" s="56" t="str">
        <f t="shared" ref="O221:O265" si="78">IF(B220=$E$8,$O$24,"")</f>
        <v/>
      </c>
      <c r="Q221" s="59" t="str">
        <f>IF(B220=$E$8,XIRR(I$24:I220,D$24:D220),"")</f>
        <v/>
      </c>
      <c r="R221" s="56" t="str">
        <f t="shared" si="77"/>
        <v/>
      </c>
      <c r="S221" s="56">
        <f t="shared" si="71"/>
        <v>0</v>
      </c>
      <c r="T221" s="21" t="e">
        <f t="shared" ca="1" si="72"/>
        <v>#VALUE!</v>
      </c>
      <c r="U221" s="21" t="e">
        <f t="shared" ca="1" si="73"/>
        <v>#VALUE!</v>
      </c>
      <c r="V221" s="21" t="e">
        <f t="shared" ca="1" si="74"/>
        <v>#VALUE!</v>
      </c>
      <c r="W221" s="60" t="e">
        <f t="shared" ca="1" si="75"/>
        <v>#VALUE!</v>
      </c>
      <c r="X221" s="61" t="e">
        <f t="shared" ca="1" si="76"/>
        <v>#VALUE!</v>
      </c>
    </row>
    <row r="222" spans="2:24" x14ac:dyDescent="0.25">
      <c r="B222" s="58" t="str">
        <f t="shared" si="69"/>
        <v/>
      </c>
      <c r="C222" s="55" t="str">
        <f t="shared" si="60"/>
        <v/>
      </c>
      <c r="D222" s="55" t="str">
        <f t="shared" ca="1" si="67"/>
        <v xml:space="preserve"> </v>
      </c>
      <c r="E222" s="58" t="str">
        <f t="shared" si="68"/>
        <v/>
      </c>
      <c r="F222" s="56" t="str">
        <f t="shared" si="59"/>
        <v/>
      </c>
      <c r="G222" s="56" t="str">
        <f>IF(AND(B221="",B223=""),"",IF(B222="",ROUND(SUM($G$25:G221),2),IF(B222=$E$8,$F$24-ROUND(SUM($G$25:G221),2),ROUND($F$24/$E$8,2))))</f>
        <v/>
      </c>
      <c r="H222" s="56" t="str">
        <f>IF(B221=$E$8,ROUND(SUM($H$25:H221),2),IF(B222&gt;$E$8,"",IF(U222&lt;&gt;U221,ROUND(SUM(W222*$E$9*F221/U222,X222*$E$9*F221/U221),2),ROUND(F221*$E$9*E222/U221,2))))</f>
        <v/>
      </c>
      <c r="I222" s="56" t="str">
        <f>IF(B221=$E$8,SUM($I$25:I221),IF(B221&gt;$E$8,"",G222+H222))</f>
        <v/>
      </c>
      <c r="J222" s="56" t="str">
        <f t="shared" si="61"/>
        <v/>
      </c>
      <c r="K222" s="56" t="str">
        <f t="shared" si="70"/>
        <v/>
      </c>
      <c r="L222" s="56"/>
      <c r="M222" s="56" t="str">
        <f t="shared" si="62"/>
        <v/>
      </c>
      <c r="N222" s="56" t="str">
        <f t="shared" ref="N222:N265" si="79">IF(B221=$E$8,$N$24,"")</f>
        <v/>
      </c>
      <c r="O222" s="56" t="str">
        <f t="shared" si="78"/>
        <v/>
      </c>
      <c r="Q222" s="59" t="str">
        <f>IF(B221=$E$8,XIRR(I$24:I221,D$24:D221),"")</f>
        <v/>
      </c>
      <c r="R222" s="56" t="str">
        <f t="shared" si="77"/>
        <v/>
      </c>
      <c r="S222" s="56">
        <f t="shared" si="71"/>
        <v>0</v>
      </c>
      <c r="T222" s="21" t="e">
        <f t="shared" ca="1" si="72"/>
        <v>#VALUE!</v>
      </c>
      <c r="U222" s="21" t="e">
        <f t="shared" ca="1" si="73"/>
        <v>#VALUE!</v>
      </c>
      <c r="V222" s="21" t="e">
        <f t="shared" ca="1" si="74"/>
        <v>#VALUE!</v>
      </c>
      <c r="W222" s="60" t="e">
        <f t="shared" ca="1" si="75"/>
        <v>#VALUE!</v>
      </c>
      <c r="X222" s="61" t="e">
        <f t="shared" ca="1" si="76"/>
        <v>#VALUE!</v>
      </c>
    </row>
    <row r="223" spans="2:24" x14ac:dyDescent="0.25">
      <c r="B223" s="58" t="str">
        <f t="shared" si="69"/>
        <v/>
      </c>
      <c r="C223" s="55" t="str">
        <f t="shared" si="60"/>
        <v/>
      </c>
      <c r="D223" s="55" t="str">
        <f t="shared" ca="1" si="67"/>
        <v xml:space="preserve"> </v>
      </c>
      <c r="E223" s="58" t="str">
        <f t="shared" si="68"/>
        <v/>
      </c>
      <c r="F223" s="56" t="str">
        <f t="shared" si="59"/>
        <v/>
      </c>
      <c r="G223" s="56" t="str">
        <f>IF(AND(B222="",B224=""),"",IF(B223="",ROUND(SUM($G$25:G222),2),IF(B223=$E$8,$F$24-ROUND(SUM($G$25:G222),2),ROUND($F$24/$E$8,2))))</f>
        <v/>
      </c>
      <c r="H223" s="56" t="str">
        <f>IF(B222=$E$8,ROUND(SUM($H$25:H222),2),IF(B223&gt;$E$8,"",IF(U223&lt;&gt;U222,ROUND(SUM(W223*$E$9*F222/U223,X223*$E$9*F222/U222),2),ROUND(F222*$E$9*E223/U222,2))))</f>
        <v/>
      </c>
      <c r="I223" s="56" t="str">
        <f>IF(B222=$E$8,SUM($I$25:I222),IF(B222&gt;$E$8,"",G223+H223))</f>
        <v/>
      </c>
      <c r="J223" s="56" t="str">
        <f t="shared" si="61"/>
        <v/>
      </c>
      <c r="K223" s="56" t="str">
        <f t="shared" si="70"/>
        <v/>
      </c>
      <c r="L223" s="56"/>
      <c r="M223" s="56" t="str">
        <f t="shared" si="62"/>
        <v/>
      </c>
      <c r="N223" s="56" t="str">
        <f t="shared" si="79"/>
        <v/>
      </c>
      <c r="O223" s="56" t="str">
        <f t="shared" si="78"/>
        <v/>
      </c>
      <c r="Q223" s="59" t="str">
        <f>IF(B222=$E$8,XIRR(I$24:I222,D$24:D222),"")</f>
        <v/>
      </c>
      <c r="R223" s="56" t="str">
        <f t="shared" si="77"/>
        <v/>
      </c>
      <c r="S223" s="56">
        <f t="shared" si="71"/>
        <v>0</v>
      </c>
      <c r="T223" s="21" t="e">
        <f t="shared" ca="1" si="72"/>
        <v>#VALUE!</v>
      </c>
      <c r="U223" s="21" t="e">
        <f t="shared" ca="1" si="73"/>
        <v>#VALUE!</v>
      </c>
      <c r="V223" s="21" t="e">
        <f t="shared" ca="1" si="74"/>
        <v>#VALUE!</v>
      </c>
      <c r="W223" s="60" t="e">
        <f t="shared" ca="1" si="75"/>
        <v>#VALUE!</v>
      </c>
      <c r="X223" s="61" t="e">
        <f t="shared" ca="1" si="76"/>
        <v>#VALUE!</v>
      </c>
    </row>
    <row r="224" spans="2:24" x14ac:dyDescent="0.25">
      <c r="B224" s="58" t="str">
        <f t="shared" si="69"/>
        <v/>
      </c>
      <c r="C224" s="55" t="str">
        <f t="shared" si="60"/>
        <v/>
      </c>
      <c r="D224" s="55" t="str">
        <f t="shared" ca="1" si="67"/>
        <v xml:space="preserve"> </v>
      </c>
      <c r="E224" s="58" t="str">
        <f t="shared" si="68"/>
        <v/>
      </c>
      <c r="F224" s="56" t="str">
        <f t="shared" si="59"/>
        <v/>
      </c>
      <c r="G224" s="56" t="str">
        <f>IF(AND(B223="",B225=""),"",IF(B224="",ROUND(SUM($G$25:G223),2),IF(B224=$E$8,$F$24-ROUND(SUM($G$25:G223),2),ROUND($F$24/$E$8,2))))</f>
        <v/>
      </c>
      <c r="H224" s="56" t="str">
        <f>IF(B223=$E$8,ROUND(SUM($H$25:H223),2),IF(B224&gt;$E$8,"",IF(U224&lt;&gt;U223,ROUND(SUM(W224*$E$9*F223/U224,X224*$E$9*F223/U223),2),ROUND(F223*$E$9*E224/U223,2))))</f>
        <v/>
      </c>
      <c r="I224" s="56" t="str">
        <f>IF(B223=$E$8,SUM($I$25:I223),IF(B223&gt;$E$8,"",G224+H224))</f>
        <v/>
      </c>
      <c r="J224" s="56" t="str">
        <f t="shared" si="61"/>
        <v/>
      </c>
      <c r="K224" s="56" t="str">
        <f t="shared" si="70"/>
        <v/>
      </c>
      <c r="L224" s="56"/>
      <c r="M224" s="56" t="str">
        <f t="shared" si="62"/>
        <v/>
      </c>
      <c r="N224" s="56" t="str">
        <f t="shared" si="79"/>
        <v/>
      </c>
      <c r="O224" s="56" t="str">
        <f t="shared" si="78"/>
        <v/>
      </c>
      <c r="Q224" s="59" t="str">
        <f>IF(B223=$E$8,XIRR(I$24:I223,D$24:D223),"")</f>
        <v/>
      </c>
      <c r="R224" s="56" t="str">
        <f t="shared" si="77"/>
        <v/>
      </c>
      <c r="S224" s="56">
        <f t="shared" si="71"/>
        <v>0</v>
      </c>
      <c r="T224" s="21" t="e">
        <f t="shared" ca="1" si="72"/>
        <v>#VALUE!</v>
      </c>
      <c r="U224" s="21" t="e">
        <f t="shared" ca="1" si="73"/>
        <v>#VALUE!</v>
      </c>
      <c r="V224" s="21" t="e">
        <f t="shared" ca="1" si="74"/>
        <v>#VALUE!</v>
      </c>
      <c r="W224" s="60" t="e">
        <f t="shared" ca="1" si="75"/>
        <v>#VALUE!</v>
      </c>
      <c r="X224" s="61" t="e">
        <f t="shared" ca="1" si="76"/>
        <v>#VALUE!</v>
      </c>
    </row>
    <row r="225" spans="2:24" x14ac:dyDescent="0.25">
      <c r="B225" s="58" t="str">
        <f t="shared" si="69"/>
        <v/>
      </c>
      <c r="C225" s="55" t="str">
        <f t="shared" si="60"/>
        <v/>
      </c>
      <c r="D225" s="55" t="str">
        <f t="shared" ca="1" si="67"/>
        <v xml:space="preserve"> </v>
      </c>
      <c r="E225" s="58" t="str">
        <f t="shared" si="68"/>
        <v/>
      </c>
      <c r="F225" s="56" t="str">
        <f t="shared" si="59"/>
        <v/>
      </c>
      <c r="G225" s="56" t="str">
        <f>IF(AND(B224="",B226=""),"",IF(B225="",ROUND(SUM($G$25:G224),2),IF(B225=$E$8,$F$24-ROUND(SUM($G$25:G224),2),ROUND($F$24/$E$8,2))))</f>
        <v/>
      </c>
      <c r="H225" s="56" t="str">
        <f>IF(B224=$E$8,ROUND(SUM($H$25:H224),2),IF(B225&gt;$E$8,"",IF(U225&lt;&gt;U224,ROUND(SUM(W225*$E$9*F224/U225,X225*$E$9*F224/U224),2),ROUND(F224*$E$9*E225/U224,2))))</f>
        <v/>
      </c>
      <c r="I225" s="56" t="str">
        <f>IF(B224=$E$8,SUM($I$25:I224),IF(B224&gt;$E$8,"",G225+H225))</f>
        <v/>
      </c>
      <c r="J225" s="56" t="str">
        <f t="shared" si="61"/>
        <v/>
      </c>
      <c r="K225" s="56" t="str">
        <f t="shared" si="70"/>
        <v/>
      </c>
      <c r="L225" s="56"/>
      <c r="M225" s="56" t="str">
        <f t="shared" si="62"/>
        <v/>
      </c>
      <c r="N225" s="56" t="str">
        <f t="shared" si="79"/>
        <v/>
      </c>
      <c r="O225" s="56" t="str">
        <f t="shared" si="78"/>
        <v/>
      </c>
      <c r="Q225" s="59" t="str">
        <f>IF(B224=$E$8,XIRR(I$24:I224,D$24:D224),"")</f>
        <v/>
      </c>
      <c r="R225" s="56" t="str">
        <f t="shared" si="77"/>
        <v/>
      </c>
      <c r="S225" s="56">
        <f t="shared" si="71"/>
        <v>0</v>
      </c>
      <c r="T225" s="21" t="e">
        <f t="shared" ca="1" si="72"/>
        <v>#VALUE!</v>
      </c>
      <c r="U225" s="21" t="e">
        <f t="shared" ca="1" si="73"/>
        <v>#VALUE!</v>
      </c>
      <c r="V225" s="21" t="e">
        <f t="shared" ca="1" si="74"/>
        <v>#VALUE!</v>
      </c>
      <c r="W225" s="60" t="e">
        <f t="shared" ca="1" si="75"/>
        <v>#VALUE!</v>
      </c>
      <c r="X225" s="61" t="e">
        <f t="shared" ca="1" si="76"/>
        <v>#VALUE!</v>
      </c>
    </row>
    <row r="226" spans="2:24" x14ac:dyDescent="0.25">
      <c r="B226" s="58" t="str">
        <f t="shared" si="69"/>
        <v/>
      </c>
      <c r="C226" s="55" t="str">
        <f t="shared" si="60"/>
        <v/>
      </c>
      <c r="D226" s="55" t="str">
        <f t="shared" ca="1" si="67"/>
        <v xml:space="preserve"> </v>
      </c>
      <c r="E226" s="58" t="str">
        <f t="shared" si="68"/>
        <v/>
      </c>
      <c r="F226" s="56" t="str">
        <f t="shared" si="59"/>
        <v/>
      </c>
      <c r="G226" s="56" t="str">
        <f>IF(AND(B225="",B227=""),"",IF(B226="",ROUND(SUM($G$25:G225),2),IF(B226=$E$8,$F$24-ROUND(SUM($G$25:G225),2),ROUND($F$24/$E$8,2))))</f>
        <v/>
      </c>
      <c r="H226" s="56" t="str">
        <f>IF(B225=$E$8,ROUND(SUM($H$25:H225),2),IF(B226&gt;$E$8,"",IF(U226&lt;&gt;U225,ROUND(SUM(W226*$E$9*F225/U226,X226*$E$9*F225/U225),2),ROUND(F225*$E$9*E226/U225,2))))</f>
        <v/>
      </c>
      <c r="I226" s="56" t="str">
        <f>IF(B225=$E$8,SUM($I$25:I225),IF(B225&gt;$E$8,"",G226+H226))</f>
        <v/>
      </c>
      <c r="J226" s="56" t="str">
        <f t="shared" si="61"/>
        <v/>
      </c>
      <c r="K226" s="56" t="str">
        <f t="shared" si="70"/>
        <v/>
      </c>
      <c r="L226" s="56"/>
      <c r="M226" s="56" t="str">
        <f t="shared" si="62"/>
        <v/>
      </c>
      <c r="N226" s="56" t="str">
        <f t="shared" si="79"/>
        <v/>
      </c>
      <c r="O226" s="56" t="str">
        <f t="shared" si="78"/>
        <v/>
      </c>
      <c r="Q226" s="59" t="str">
        <f>IF(B225=$E$8,XIRR(I$24:I225,D$24:D225),"")</f>
        <v/>
      </c>
      <c r="R226" s="56" t="str">
        <f t="shared" si="77"/>
        <v/>
      </c>
      <c r="S226" s="56">
        <f t="shared" si="71"/>
        <v>0</v>
      </c>
      <c r="T226" s="21" t="e">
        <f t="shared" ca="1" si="72"/>
        <v>#VALUE!</v>
      </c>
      <c r="U226" s="21" t="e">
        <f t="shared" ca="1" si="73"/>
        <v>#VALUE!</v>
      </c>
      <c r="V226" s="21" t="e">
        <f t="shared" ca="1" si="74"/>
        <v>#VALUE!</v>
      </c>
      <c r="W226" s="60" t="e">
        <f t="shared" ca="1" si="75"/>
        <v>#VALUE!</v>
      </c>
      <c r="X226" s="61" t="e">
        <f t="shared" ca="1" si="76"/>
        <v>#VALUE!</v>
      </c>
    </row>
    <row r="227" spans="2:24" x14ac:dyDescent="0.25">
      <c r="B227" s="58" t="str">
        <f t="shared" si="69"/>
        <v/>
      </c>
      <c r="C227" s="55" t="str">
        <f t="shared" si="60"/>
        <v/>
      </c>
      <c r="D227" s="55" t="str">
        <f t="shared" ca="1" si="67"/>
        <v xml:space="preserve"> </v>
      </c>
      <c r="E227" s="58" t="str">
        <f t="shared" si="68"/>
        <v/>
      </c>
      <c r="F227" s="56" t="str">
        <f t="shared" si="59"/>
        <v/>
      </c>
      <c r="G227" s="56" t="str">
        <f>IF(AND(B226="",B228=""),"",IF(B227="",ROUND(SUM($G$25:G226),2),IF(B227=$E$8,$F$24-ROUND(SUM($G$25:G226),2),ROUND($F$24/$E$8,2))))</f>
        <v/>
      </c>
      <c r="H227" s="56" t="str">
        <f>IF(B226=$E$8,ROUND(SUM($H$25:H226),2),IF(B227&gt;$E$8,"",IF(U227&lt;&gt;U226,ROUND(SUM(W227*$E$9*F226/U227,X227*$E$9*F226/U226),2),ROUND(F226*$E$9*E227/U226,2))))</f>
        <v/>
      </c>
      <c r="I227" s="56" t="str">
        <f>IF(B226=$E$8,SUM($I$25:I226),IF(B226&gt;$E$8,"",G227+H227))</f>
        <v/>
      </c>
      <c r="J227" s="56" t="str">
        <f t="shared" si="61"/>
        <v/>
      </c>
      <c r="K227" s="56" t="str">
        <f t="shared" si="70"/>
        <v/>
      </c>
      <c r="L227" s="56"/>
      <c r="M227" s="56" t="str">
        <f t="shared" si="62"/>
        <v/>
      </c>
      <c r="N227" s="56" t="str">
        <f t="shared" si="79"/>
        <v/>
      </c>
      <c r="O227" s="56" t="str">
        <f t="shared" si="78"/>
        <v/>
      </c>
      <c r="Q227" s="59" t="str">
        <f>IF(B226=$E$8,XIRR(I$24:I226,D$24:D226),"")</f>
        <v/>
      </c>
      <c r="R227" s="56" t="str">
        <f t="shared" si="77"/>
        <v/>
      </c>
      <c r="S227" s="56">
        <f t="shared" si="71"/>
        <v>0</v>
      </c>
      <c r="T227" s="21" t="e">
        <f t="shared" ca="1" si="72"/>
        <v>#VALUE!</v>
      </c>
      <c r="U227" s="21" t="e">
        <f t="shared" ca="1" si="73"/>
        <v>#VALUE!</v>
      </c>
      <c r="V227" s="21" t="e">
        <f t="shared" ca="1" si="74"/>
        <v>#VALUE!</v>
      </c>
      <c r="W227" s="60" t="e">
        <f t="shared" ca="1" si="75"/>
        <v>#VALUE!</v>
      </c>
      <c r="X227" s="61" t="e">
        <f t="shared" ca="1" si="76"/>
        <v>#VALUE!</v>
      </c>
    </row>
    <row r="228" spans="2:24" x14ac:dyDescent="0.25">
      <c r="B228" s="58" t="str">
        <f t="shared" si="69"/>
        <v/>
      </c>
      <c r="C228" s="55" t="str">
        <f t="shared" si="60"/>
        <v/>
      </c>
      <c r="D228" s="55" t="str">
        <f t="shared" ca="1" si="67"/>
        <v xml:space="preserve"> </v>
      </c>
      <c r="E228" s="58" t="str">
        <f t="shared" si="68"/>
        <v/>
      </c>
      <c r="F228" s="56" t="str">
        <f t="shared" si="59"/>
        <v/>
      </c>
      <c r="G228" s="56" t="str">
        <f>IF(AND(B227="",B229=""),"",IF(B228="",ROUND(SUM($G$25:G227),2),IF(B228=$E$8,$F$24-ROUND(SUM($G$25:G227),2),ROUND($F$24/$E$8,2))))</f>
        <v/>
      </c>
      <c r="H228" s="56" t="str">
        <f>IF(B227=$E$8,ROUND(SUM($H$25:H227),2),IF(B228&gt;$E$8,"",IF(U228&lt;&gt;U227,ROUND(SUM(W228*$E$9*F227/U228,X228*$E$9*F227/U227),2),ROUND(F227*$E$9*E228/U227,2))))</f>
        <v/>
      </c>
      <c r="I228" s="56" t="str">
        <f>IF(B227=$E$8,SUM($I$25:I227),IF(B227&gt;$E$8,"",G228+H228))</f>
        <v/>
      </c>
      <c r="J228" s="56" t="str">
        <f t="shared" si="61"/>
        <v/>
      </c>
      <c r="K228" s="56" t="str">
        <f t="shared" si="70"/>
        <v/>
      </c>
      <c r="L228" s="56"/>
      <c r="M228" s="56" t="str">
        <f t="shared" si="62"/>
        <v/>
      </c>
      <c r="N228" s="56" t="str">
        <f t="shared" si="79"/>
        <v/>
      </c>
      <c r="O228" s="56" t="str">
        <f t="shared" si="78"/>
        <v/>
      </c>
      <c r="Q228" s="59" t="str">
        <f>IF(B227=$E$8,XIRR(I$24:I227,D$24:D227),"")</f>
        <v/>
      </c>
      <c r="R228" s="56" t="str">
        <f t="shared" si="77"/>
        <v/>
      </c>
      <c r="S228" s="56">
        <f t="shared" si="71"/>
        <v>0</v>
      </c>
      <c r="T228" s="21" t="e">
        <f t="shared" ca="1" si="72"/>
        <v>#VALUE!</v>
      </c>
      <c r="U228" s="21" t="e">
        <f t="shared" ca="1" si="73"/>
        <v>#VALUE!</v>
      </c>
      <c r="V228" s="21" t="e">
        <f t="shared" ca="1" si="74"/>
        <v>#VALUE!</v>
      </c>
      <c r="W228" s="60" t="e">
        <f t="shared" ca="1" si="75"/>
        <v>#VALUE!</v>
      </c>
      <c r="X228" s="61" t="e">
        <f t="shared" ca="1" si="76"/>
        <v>#VALUE!</v>
      </c>
    </row>
    <row r="229" spans="2:24" x14ac:dyDescent="0.25">
      <c r="B229" s="58" t="str">
        <f t="shared" si="69"/>
        <v/>
      </c>
      <c r="C229" s="55" t="str">
        <f t="shared" si="60"/>
        <v/>
      </c>
      <c r="D229" s="55" t="str">
        <f t="shared" ca="1" si="67"/>
        <v xml:space="preserve"> </v>
      </c>
      <c r="E229" s="58" t="str">
        <f t="shared" si="68"/>
        <v/>
      </c>
      <c r="F229" s="56" t="str">
        <f t="shared" ref="F229:F265" si="80">IF(B229&gt;$E$8,"",F228-G229)</f>
        <v/>
      </c>
      <c r="G229" s="56" t="str">
        <f>IF(AND(B228="",B230=""),"",IF(B229="",ROUND(SUM($G$25:G228),2),IF(B229=$E$8,$F$24-ROUND(SUM($G$25:G228),2),ROUND($F$24/$E$8,2))))</f>
        <v/>
      </c>
      <c r="H229" s="56" t="str">
        <f>IF(B228=$E$8,ROUND(SUM($H$25:H228),2),IF(B229&gt;$E$8,"",IF(U229&lt;&gt;U228,ROUND(SUM(W229*$E$9*F228/U229,X229*$E$9*F228/U228),2),ROUND(F228*$E$9*E229/U228,2))))</f>
        <v/>
      </c>
      <c r="I229" s="56" t="str">
        <f>IF(B228=$E$8,SUM($I$25:I228),IF(B228&gt;$E$8,"",G229+H229))</f>
        <v/>
      </c>
      <c r="J229" s="56" t="str">
        <f t="shared" si="61"/>
        <v/>
      </c>
      <c r="K229" s="56" t="str">
        <f>IF($E$8&gt;B228,$O$9,IF($E$8=B228,SUM($K$24:K228)," "))</f>
        <v xml:space="preserve"> </v>
      </c>
      <c r="L229" s="56" t="str">
        <f>IF($E$8&gt;B228,($P$8+$O$10*F228),IF(B228=$E$8,$L$37+$L$24+$L$49+$L$61+$L$73+$L$85+$L$97+$L$109+$L$121+$L$133+$L$145+$L$157+$L$169+$L$181+$L$193+$L$205+$L$217,""))</f>
        <v/>
      </c>
      <c r="M229" s="56" t="str">
        <f t="shared" si="62"/>
        <v/>
      </c>
      <c r="N229" s="56" t="str">
        <f t="shared" si="79"/>
        <v/>
      </c>
      <c r="O229" s="56" t="str">
        <f t="shared" si="78"/>
        <v/>
      </c>
      <c r="Q229" s="59" t="str">
        <f>IF(B228=$E$8,XIRR(I$24:I228,D$24:D228),"")</f>
        <v/>
      </c>
      <c r="R229" s="56" t="str">
        <f t="shared" si="77"/>
        <v/>
      </c>
      <c r="S229" s="56">
        <f t="shared" si="71"/>
        <v>0</v>
      </c>
      <c r="T229" s="21" t="e">
        <f t="shared" ca="1" si="72"/>
        <v>#VALUE!</v>
      </c>
      <c r="U229" s="21" t="e">
        <f t="shared" ca="1" si="73"/>
        <v>#VALUE!</v>
      </c>
      <c r="V229" s="21" t="e">
        <f t="shared" ca="1" si="74"/>
        <v>#VALUE!</v>
      </c>
      <c r="W229" s="60" t="e">
        <f t="shared" ca="1" si="75"/>
        <v>#VALUE!</v>
      </c>
      <c r="X229" s="61" t="e">
        <f t="shared" ca="1" si="76"/>
        <v>#VALUE!</v>
      </c>
    </row>
    <row r="230" spans="2:24" x14ac:dyDescent="0.25">
      <c r="B230" s="58" t="str">
        <f t="shared" si="69"/>
        <v/>
      </c>
      <c r="C230" s="55" t="str">
        <f t="shared" ref="C230:C264" si="81">IF(B230="","",EDATE($C$24,B230))</f>
        <v/>
      </c>
      <c r="D230" s="55" t="str">
        <f t="shared" ca="1" si="67"/>
        <v xml:space="preserve"> </v>
      </c>
      <c r="E230" s="58" t="str">
        <f t="shared" si="68"/>
        <v/>
      </c>
      <c r="F230" s="56" t="str">
        <f t="shared" si="80"/>
        <v/>
      </c>
      <c r="G230" s="56" t="str">
        <f>IF(AND(B229="",B231=""),"",IF(B230="",ROUND(SUM($G$25:G229),2),IF(B230=$E$8,$F$24-ROUND(SUM($G$25:G229),2),ROUND($F$24/$E$8,2))))</f>
        <v/>
      </c>
      <c r="H230" s="56" t="str">
        <f>IF(B229=$E$8,ROUND(SUM($H$25:H229),2),IF(B230&gt;$E$8,"",IF(U230&lt;&gt;U229,ROUND(SUM(W230*$E$9*F229/U230,X230*$E$9*F229/U229),2),ROUND(F229*$E$9*E230/U229,2))))</f>
        <v/>
      </c>
      <c r="I230" s="56" t="str">
        <f>IF(B229=$E$8,SUM($I$25:I229),IF(B229&gt;$E$8,"",G230+H230))</f>
        <v/>
      </c>
      <c r="J230" s="56" t="str">
        <f t="shared" ref="J230:J265" si="82">IF(B229=$E$8,$J$24,"")</f>
        <v/>
      </c>
      <c r="K230" s="56" t="str">
        <f t="shared" ref="K230:K240" si="83">IF(B229=$E$8,$K$24,"")</f>
        <v/>
      </c>
      <c r="L230" s="56"/>
      <c r="M230" s="56" t="str">
        <f t="shared" ref="M230:M265" si="84">IF(B229=$E$8,$M$24,"")</f>
        <v/>
      </c>
      <c r="N230" s="56" t="str">
        <f t="shared" si="79"/>
        <v/>
      </c>
      <c r="O230" s="56" t="str">
        <f t="shared" si="78"/>
        <v/>
      </c>
      <c r="Q230" s="59" t="str">
        <f>IF(B229=$E$8,XIRR(I$24:I229,D$24:D229),"")</f>
        <v/>
      </c>
      <c r="R230" s="56" t="str">
        <f t="shared" si="77"/>
        <v/>
      </c>
      <c r="S230" s="56">
        <f t="shared" si="71"/>
        <v>0</v>
      </c>
      <c r="T230" s="21" t="e">
        <f t="shared" ca="1" si="72"/>
        <v>#VALUE!</v>
      </c>
      <c r="U230" s="21" t="e">
        <f t="shared" ca="1" si="73"/>
        <v>#VALUE!</v>
      </c>
      <c r="V230" s="21" t="e">
        <f t="shared" ca="1" si="74"/>
        <v>#VALUE!</v>
      </c>
      <c r="W230" s="60" t="e">
        <f t="shared" ca="1" si="75"/>
        <v>#VALUE!</v>
      </c>
      <c r="X230" s="61" t="e">
        <f t="shared" ca="1" si="76"/>
        <v>#VALUE!</v>
      </c>
    </row>
    <row r="231" spans="2:24" x14ac:dyDescent="0.25">
      <c r="B231" s="58" t="str">
        <f t="shared" si="69"/>
        <v/>
      </c>
      <c r="C231" s="55" t="str">
        <f t="shared" si="81"/>
        <v/>
      </c>
      <c r="D231" s="55" t="str">
        <f t="shared" ca="1" si="67"/>
        <v xml:space="preserve"> </v>
      </c>
      <c r="E231" s="58" t="str">
        <f t="shared" si="68"/>
        <v/>
      </c>
      <c r="F231" s="56" t="str">
        <f t="shared" si="80"/>
        <v/>
      </c>
      <c r="G231" s="56" t="str">
        <f>IF(AND(B230="",B232=""),"",IF(B231="",ROUND(SUM($G$25:G230),2),IF(B231=$E$8,$F$24-ROUND(SUM($G$25:G230),2),ROUND($F$24/$E$8,2))))</f>
        <v/>
      </c>
      <c r="H231" s="56" t="str">
        <f>IF(B230=$E$8,ROUND(SUM($H$25:H230),2),IF(B231&gt;$E$8,"",IF(U231&lt;&gt;U230,ROUND(SUM(W231*$E$9*F230/U231,X231*$E$9*F230/U230),2),ROUND(F230*$E$9*E231/U230,2))))</f>
        <v/>
      </c>
      <c r="I231" s="56" t="str">
        <f>IF(B230=$E$8,SUM($I$25:I230),IF(B230&gt;$E$8,"",G231+H231))</f>
        <v/>
      </c>
      <c r="J231" s="56" t="str">
        <f t="shared" si="82"/>
        <v/>
      </c>
      <c r="K231" s="56" t="str">
        <f t="shared" si="83"/>
        <v/>
      </c>
      <c r="L231" s="56"/>
      <c r="M231" s="56" t="str">
        <f t="shared" si="84"/>
        <v/>
      </c>
      <c r="N231" s="56" t="str">
        <f t="shared" si="79"/>
        <v/>
      </c>
      <c r="O231" s="56" t="str">
        <f t="shared" si="78"/>
        <v/>
      </c>
      <c r="Q231" s="59" t="str">
        <f>IF(B230=$E$8,XIRR(I$24:I230,D$24:D230),"")</f>
        <v/>
      </c>
      <c r="R231" s="56" t="str">
        <f t="shared" si="77"/>
        <v/>
      </c>
      <c r="S231" s="56">
        <f t="shared" si="71"/>
        <v>0</v>
      </c>
      <c r="T231" s="21" t="e">
        <f t="shared" ca="1" si="72"/>
        <v>#VALUE!</v>
      </c>
      <c r="U231" s="21" t="e">
        <f t="shared" ca="1" si="73"/>
        <v>#VALUE!</v>
      </c>
      <c r="V231" s="21" t="e">
        <f t="shared" ca="1" si="74"/>
        <v>#VALUE!</v>
      </c>
      <c r="W231" s="60" t="e">
        <f t="shared" ca="1" si="75"/>
        <v>#VALUE!</v>
      </c>
      <c r="X231" s="61" t="e">
        <f t="shared" ca="1" si="76"/>
        <v>#VALUE!</v>
      </c>
    </row>
    <row r="232" spans="2:24" x14ac:dyDescent="0.25">
      <c r="B232" s="58" t="str">
        <f t="shared" si="69"/>
        <v/>
      </c>
      <c r="C232" s="55" t="str">
        <f t="shared" si="81"/>
        <v/>
      </c>
      <c r="D232" s="55" t="str">
        <f t="shared" ca="1" si="67"/>
        <v xml:space="preserve"> </v>
      </c>
      <c r="E232" s="58" t="str">
        <f t="shared" si="68"/>
        <v/>
      </c>
      <c r="F232" s="56" t="str">
        <f t="shared" si="80"/>
        <v/>
      </c>
      <c r="G232" s="56" t="str">
        <f>IF(AND(B231="",B233=""),"",IF(B232="",ROUND(SUM($G$25:G231),2),IF(B232=$E$8,$F$24-ROUND(SUM($G$25:G231),2),ROUND($F$24/$E$8,2))))</f>
        <v/>
      </c>
      <c r="H232" s="56" t="str">
        <f>IF(B231=$E$8,ROUND(SUM($H$25:H231),2),IF(B232&gt;$E$8,"",IF(U232&lt;&gt;U231,ROUND(SUM(W232*$E$9*F231/U232,X232*$E$9*F231/U231),2),ROUND(F231*$E$9*E232/U231,2))))</f>
        <v/>
      </c>
      <c r="I232" s="56" t="str">
        <f>IF(B231=$E$8,SUM($I$25:I231),IF(B231&gt;$E$8,"",G232+H232))</f>
        <v/>
      </c>
      <c r="J232" s="56" t="str">
        <f t="shared" si="82"/>
        <v/>
      </c>
      <c r="K232" s="56" t="str">
        <f t="shared" si="83"/>
        <v/>
      </c>
      <c r="L232" s="56"/>
      <c r="M232" s="56" t="str">
        <f t="shared" si="84"/>
        <v/>
      </c>
      <c r="N232" s="56" t="str">
        <f t="shared" si="79"/>
        <v/>
      </c>
      <c r="O232" s="56" t="str">
        <f t="shared" si="78"/>
        <v/>
      </c>
      <c r="Q232" s="59" t="str">
        <f>IF(B231=$E$8,XIRR(I$24:I231,D$24:D231),"")</f>
        <v/>
      </c>
      <c r="R232" s="56" t="str">
        <f t="shared" si="77"/>
        <v/>
      </c>
      <c r="S232" s="56">
        <f t="shared" si="71"/>
        <v>0</v>
      </c>
      <c r="T232" s="21" t="e">
        <f t="shared" ca="1" si="72"/>
        <v>#VALUE!</v>
      </c>
      <c r="U232" s="21" t="e">
        <f t="shared" ca="1" si="73"/>
        <v>#VALUE!</v>
      </c>
      <c r="V232" s="21" t="e">
        <f t="shared" ca="1" si="74"/>
        <v>#VALUE!</v>
      </c>
      <c r="W232" s="60" t="e">
        <f t="shared" ca="1" si="75"/>
        <v>#VALUE!</v>
      </c>
      <c r="X232" s="61" t="e">
        <f t="shared" ca="1" si="76"/>
        <v>#VALUE!</v>
      </c>
    </row>
    <row r="233" spans="2:24" x14ac:dyDescent="0.25">
      <c r="B233" s="58" t="str">
        <f t="shared" si="69"/>
        <v/>
      </c>
      <c r="C233" s="55" t="str">
        <f t="shared" si="81"/>
        <v/>
      </c>
      <c r="D233" s="55" t="str">
        <f t="shared" ca="1" si="67"/>
        <v xml:space="preserve"> </v>
      </c>
      <c r="E233" s="58" t="str">
        <f t="shared" si="68"/>
        <v/>
      </c>
      <c r="F233" s="56" t="str">
        <f t="shared" si="80"/>
        <v/>
      </c>
      <c r="G233" s="56" t="str">
        <f>IF(AND(B232="",B234=""),"",IF(B233="",ROUND(SUM($G$25:G232),2),IF(B233=$E$8,$F$24-ROUND(SUM($G$25:G232),2),ROUND($F$24/$E$8,2))))</f>
        <v/>
      </c>
      <c r="H233" s="56" t="str">
        <f>IF(B232=$E$8,ROUND(SUM($H$25:H232),2),IF(B233&gt;$E$8,"",IF(U233&lt;&gt;U232,ROUND(SUM(W233*$E$9*F232/U233,X233*$E$9*F232/U232),2),ROUND(F232*$E$9*E233/U232,2))))</f>
        <v/>
      </c>
      <c r="I233" s="56" t="str">
        <f>IF(B232=$E$8,SUM($I$25:I232),IF(B232&gt;$E$8,"",G233+H233))</f>
        <v/>
      </c>
      <c r="J233" s="56" t="str">
        <f t="shared" si="82"/>
        <v/>
      </c>
      <c r="K233" s="56" t="str">
        <f t="shared" si="83"/>
        <v/>
      </c>
      <c r="L233" s="56"/>
      <c r="M233" s="56" t="str">
        <f t="shared" si="84"/>
        <v/>
      </c>
      <c r="N233" s="56" t="str">
        <f t="shared" si="79"/>
        <v/>
      </c>
      <c r="O233" s="56" t="str">
        <f t="shared" si="78"/>
        <v/>
      </c>
      <c r="Q233" s="59" t="str">
        <f>IF(B232=$E$8,XIRR(I$24:I232,D$24:D232),"")</f>
        <v/>
      </c>
      <c r="R233" s="56" t="str">
        <f t="shared" si="77"/>
        <v/>
      </c>
      <c r="S233" s="56">
        <f t="shared" si="71"/>
        <v>0</v>
      </c>
      <c r="T233" s="21" t="e">
        <f t="shared" ca="1" si="72"/>
        <v>#VALUE!</v>
      </c>
      <c r="U233" s="21" t="e">
        <f t="shared" ca="1" si="73"/>
        <v>#VALUE!</v>
      </c>
      <c r="V233" s="21" t="e">
        <f t="shared" ca="1" si="74"/>
        <v>#VALUE!</v>
      </c>
      <c r="W233" s="60" t="e">
        <f t="shared" ca="1" si="75"/>
        <v>#VALUE!</v>
      </c>
      <c r="X233" s="61" t="e">
        <f t="shared" ca="1" si="76"/>
        <v>#VALUE!</v>
      </c>
    </row>
    <row r="234" spans="2:24" x14ac:dyDescent="0.25">
      <c r="B234" s="58" t="str">
        <f t="shared" si="69"/>
        <v/>
      </c>
      <c r="C234" s="55" t="str">
        <f t="shared" si="81"/>
        <v/>
      </c>
      <c r="D234" s="55" t="str">
        <f t="shared" ca="1" si="67"/>
        <v xml:space="preserve"> </v>
      </c>
      <c r="E234" s="58" t="str">
        <f t="shared" si="68"/>
        <v/>
      </c>
      <c r="F234" s="56" t="str">
        <f t="shared" si="80"/>
        <v/>
      </c>
      <c r="G234" s="56" t="str">
        <f>IF(AND(B233="",B235=""),"",IF(B234="",ROUND(SUM($G$25:G233),2),IF(B234=$E$8,$F$24-ROUND(SUM($G$25:G233),2),ROUND($F$24/$E$8,2))))</f>
        <v/>
      </c>
      <c r="H234" s="56" t="str">
        <f>IF(B233=$E$8,ROUND(SUM($H$25:H233),2),IF(B234&gt;$E$8,"",IF(U234&lt;&gt;U233,ROUND(SUM(W234*$E$9*F233/U234,X234*$E$9*F233/U233),2),ROUND(F233*$E$9*E234/U233,2))))</f>
        <v/>
      </c>
      <c r="I234" s="56" t="str">
        <f>IF(B233=$E$8,SUM($I$25:I233),IF(B233&gt;$E$8,"",G234+H234))</f>
        <v/>
      </c>
      <c r="J234" s="56" t="str">
        <f t="shared" si="82"/>
        <v/>
      </c>
      <c r="K234" s="56" t="str">
        <f t="shared" si="83"/>
        <v/>
      </c>
      <c r="L234" s="56"/>
      <c r="M234" s="56" t="str">
        <f t="shared" si="84"/>
        <v/>
      </c>
      <c r="N234" s="56" t="str">
        <f t="shared" si="79"/>
        <v/>
      </c>
      <c r="O234" s="56" t="str">
        <f t="shared" si="78"/>
        <v/>
      </c>
      <c r="Q234" s="59" t="str">
        <f>IF(B233=$E$8,XIRR(I$24:I233,D$24:D233),"")</f>
        <v/>
      </c>
      <c r="R234" s="56" t="str">
        <f t="shared" si="77"/>
        <v/>
      </c>
      <c r="S234" s="56">
        <f t="shared" si="71"/>
        <v>0</v>
      </c>
      <c r="T234" s="21" t="e">
        <f t="shared" ca="1" si="72"/>
        <v>#VALUE!</v>
      </c>
      <c r="U234" s="21" t="e">
        <f t="shared" ca="1" si="73"/>
        <v>#VALUE!</v>
      </c>
      <c r="V234" s="21" t="e">
        <f t="shared" ca="1" si="74"/>
        <v>#VALUE!</v>
      </c>
      <c r="W234" s="60" t="e">
        <f t="shared" ca="1" si="75"/>
        <v>#VALUE!</v>
      </c>
      <c r="X234" s="61" t="e">
        <f t="shared" ca="1" si="76"/>
        <v>#VALUE!</v>
      </c>
    </row>
    <row r="235" spans="2:24" x14ac:dyDescent="0.25">
      <c r="B235" s="58" t="str">
        <f t="shared" si="69"/>
        <v/>
      </c>
      <c r="C235" s="55" t="str">
        <f t="shared" si="81"/>
        <v/>
      </c>
      <c r="D235" s="55" t="str">
        <f t="shared" ca="1" si="67"/>
        <v xml:space="preserve"> </v>
      </c>
      <c r="E235" s="58" t="str">
        <f t="shared" si="68"/>
        <v/>
      </c>
      <c r="F235" s="56" t="str">
        <f t="shared" si="80"/>
        <v/>
      </c>
      <c r="G235" s="56" t="str">
        <f>IF(AND(B234="",B236=""),"",IF(B235="",ROUND(SUM($G$25:G234),2),IF(B235=$E$8,$F$24-ROUND(SUM($G$25:G234),2),ROUND($F$24/$E$8,2))))</f>
        <v/>
      </c>
      <c r="H235" s="56" t="str">
        <f>IF(B234=$E$8,ROUND(SUM($H$25:H234),2),IF(B235&gt;$E$8,"",IF(U235&lt;&gt;U234,ROUND(SUM(W235*$E$9*F234/U235,X235*$E$9*F234/U234),2),ROUND(F234*$E$9*E235/U234,2))))</f>
        <v/>
      </c>
      <c r="I235" s="56" t="str">
        <f>IF(B234=$E$8,SUM($I$25:I234),IF(B234&gt;$E$8,"",G235+H235))</f>
        <v/>
      </c>
      <c r="J235" s="56" t="str">
        <f t="shared" si="82"/>
        <v/>
      </c>
      <c r="K235" s="56" t="str">
        <f t="shared" si="83"/>
        <v/>
      </c>
      <c r="L235" s="56"/>
      <c r="M235" s="56" t="str">
        <f t="shared" si="84"/>
        <v/>
      </c>
      <c r="N235" s="56" t="str">
        <f t="shared" si="79"/>
        <v/>
      </c>
      <c r="O235" s="56" t="str">
        <f t="shared" si="78"/>
        <v/>
      </c>
      <c r="Q235" s="59" t="str">
        <f>IF(B234=$E$8,XIRR(I$24:I234,D$24:D234),"")</f>
        <v/>
      </c>
      <c r="R235" s="56" t="str">
        <f t="shared" si="77"/>
        <v/>
      </c>
      <c r="S235" s="56">
        <f t="shared" si="71"/>
        <v>0</v>
      </c>
      <c r="T235" s="21" t="e">
        <f t="shared" ca="1" si="72"/>
        <v>#VALUE!</v>
      </c>
      <c r="U235" s="21" t="e">
        <f t="shared" ca="1" si="73"/>
        <v>#VALUE!</v>
      </c>
      <c r="V235" s="21" t="e">
        <f t="shared" ca="1" si="74"/>
        <v>#VALUE!</v>
      </c>
      <c r="W235" s="60" t="e">
        <f t="shared" ca="1" si="75"/>
        <v>#VALUE!</v>
      </c>
      <c r="X235" s="61" t="e">
        <f t="shared" ca="1" si="76"/>
        <v>#VALUE!</v>
      </c>
    </row>
    <row r="236" spans="2:24" x14ac:dyDescent="0.25">
      <c r="B236" s="58" t="str">
        <f t="shared" si="69"/>
        <v/>
      </c>
      <c r="C236" s="55" t="str">
        <f t="shared" si="81"/>
        <v/>
      </c>
      <c r="D236" s="55" t="str">
        <f t="shared" ca="1" si="67"/>
        <v xml:space="preserve"> </v>
      </c>
      <c r="E236" s="58" t="str">
        <f t="shared" si="68"/>
        <v/>
      </c>
      <c r="F236" s="56" t="str">
        <f t="shared" si="80"/>
        <v/>
      </c>
      <c r="G236" s="56" t="str">
        <f>IF(AND(B235="",B237=""),"",IF(B236="",ROUND(SUM($G$25:G235),2),IF(B236=$E$8,$F$24-ROUND(SUM($G$25:G235),2),ROUND($F$24/$E$8,2))))</f>
        <v/>
      </c>
      <c r="H236" s="56" t="str">
        <f>IF(B235=$E$8,ROUND(SUM($H$25:H235),2),IF(B236&gt;$E$8,"",IF(U236&lt;&gt;U235,ROUND(SUM(W236*$E$9*F235/U236,X236*$E$9*F235/U235),2),ROUND(F235*$E$9*E236/U235,2))))</f>
        <v/>
      </c>
      <c r="I236" s="56" t="str">
        <f>IF(B235=$E$8,SUM($I$25:I235),IF(B235&gt;$E$8,"",G236+H236))</f>
        <v/>
      </c>
      <c r="J236" s="56" t="str">
        <f t="shared" si="82"/>
        <v/>
      </c>
      <c r="K236" s="56" t="str">
        <f t="shared" si="83"/>
        <v/>
      </c>
      <c r="L236" s="56"/>
      <c r="M236" s="56" t="str">
        <f t="shared" si="84"/>
        <v/>
      </c>
      <c r="N236" s="56" t="str">
        <f t="shared" si="79"/>
        <v/>
      </c>
      <c r="O236" s="56" t="str">
        <f t="shared" si="78"/>
        <v/>
      </c>
      <c r="Q236" s="59" t="str">
        <f>IF(B235=$E$8,XIRR(I$24:I235,D$24:D235),"")</f>
        <v/>
      </c>
      <c r="R236" s="56" t="str">
        <f t="shared" si="77"/>
        <v/>
      </c>
      <c r="S236" s="56">
        <f t="shared" si="71"/>
        <v>0</v>
      </c>
      <c r="T236" s="21" t="e">
        <f t="shared" ca="1" si="72"/>
        <v>#VALUE!</v>
      </c>
      <c r="U236" s="21" t="e">
        <f t="shared" ca="1" si="73"/>
        <v>#VALUE!</v>
      </c>
      <c r="V236" s="21" t="e">
        <f t="shared" ca="1" si="74"/>
        <v>#VALUE!</v>
      </c>
      <c r="W236" s="60" t="e">
        <f t="shared" ca="1" si="75"/>
        <v>#VALUE!</v>
      </c>
      <c r="X236" s="61" t="e">
        <f t="shared" ca="1" si="76"/>
        <v>#VALUE!</v>
      </c>
    </row>
    <row r="237" spans="2:24" x14ac:dyDescent="0.25">
      <c r="B237" s="58" t="str">
        <f t="shared" si="69"/>
        <v/>
      </c>
      <c r="C237" s="55" t="str">
        <f t="shared" si="81"/>
        <v/>
      </c>
      <c r="D237" s="55" t="str">
        <f t="shared" ca="1" si="67"/>
        <v xml:space="preserve"> </v>
      </c>
      <c r="E237" s="58" t="str">
        <f t="shared" si="68"/>
        <v/>
      </c>
      <c r="F237" s="56" t="str">
        <f t="shared" si="80"/>
        <v/>
      </c>
      <c r="G237" s="56" t="str">
        <f>IF(AND(B236="",B238=""),"",IF(B237="",ROUND(SUM($G$25:G236),2),IF(B237=$E$8,$F$24-ROUND(SUM($G$25:G236),2),ROUND($F$24/$E$8,2))))</f>
        <v/>
      </c>
      <c r="H237" s="56" t="str">
        <f>IF(B236=$E$8,ROUND(SUM($H$25:H236),2),IF(B237&gt;$E$8,"",IF(U237&lt;&gt;U236,ROUND(SUM(W237*$E$9*F236/U237,X237*$E$9*F236/U236),2),ROUND(F236*$E$9*E237/U236,2))))</f>
        <v/>
      </c>
      <c r="I237" s="56" t="str">
        <f>IF(B236=$E$8,SUM($I$25:I236),IF(B236&gt;$E$8,"",G237+H237))</f>
        <v/>
      </c>
      <c r="J237" s="56" t="str">
        <f t="shared" si="82"/>
        <v/>
      </c>
      <c r="K237" s="56" t="str">
        <f t="shared" si="83"/>
        <v/>
      </c>
      <c r="L237" s="56"/>
      <c r="M237" s="56" t="str">
        <f t="shared" si="84"/>
        <v/>
      </c>
      <c r="N237" s="56" t="str">
        <f t="shared" si="79"/>
        <v/>
      </c>
      <c r="O237" s="56" t="str">
        <f t="shared" si="78"/>
        <v/>
      </c>
      <c r="Q237" s="59" t="str">
        <f>IF(B236=$E$8,XIRR(I$24:I236,D$24:D236),"")</f>
        <v/>
      </c>
      <c r="R237" s="56" t="str">
        <f t="shared" si="77"/>
        <v/>
      </c>
      <c r="S237" s="56">
        <f t="shared" si="71"/>
        <v>0</v>
      </c>
      <c r="T237" s="21" t="e">
        <f t="shared" ca="1" si="72"/>
        <v>#VALUE!</v>
      </c>
      <c r="U237" s="21" t="e">
        <f t="shared" ca="1" si="73"/>
        <v>#VALUE!</v>
      </c>
      <c r="V237" s="21" t="e">
        <f t="shared" ca="1" si="74"/>
        <v>#VALUE!</v>
      </c>
      <c r="W237" s="60" t="e">
        <f t="shared" ca="1" si="75"/>
        <v>#VALUE!</v>
      </c>
      <c r="X237" s="61" t="e">
        <f t="shared" ca="1" si="76"/>
        <v>#VALUE!</v>
      </c>
    </row>
    <row r="238" spans="2:24" x14ac:dyDescent="0.25">
      <c r="B238" s="58" t="str">
        <f t="shared" si="69"/>
        <v/>
      </c>
      <c r="C238" s="55" t="str">
        <f t="shared" si="81"/>
        <v/>
      </c>
      <c r="D238" s="55" t="str">
        <f t="shared" ca="1" si="67"/>
        <v xml:space="preserve"> </v>
      </c>
      <c r="E238" s="58" t="str">
        <f t="shared" si="68"/>
        <v/>
      </c>
      <c r="F238" s="56" t="str">
        <f t="shared" si="80"/>
        <v/>
      </c>
      <c r="G238" s="56" t="str">
        <f>IF(AND(B237="",B239=""),"",IF(B238="",ROUND(SUM($G$25:G237),2),IF(B238=$E$8,$F$24-ROUND(SUM($G$25:G237),2),ROUND($F$24/$E$8,2))))</f>
        <v/>
      </c>
      <c r="H238" s="56" t="str">
        <f>IF(B237=$E$8,ROUND(SUM($H$25:H237),2),IF(B238&gt;$E$8,"",IF(U238&lt;&gt;U237,ROUND(SUM(W238*$E$9*F237/U238,X238*$E$9*F237/U237),2),ROUND(F237*$E$9*E238/U237,2))))</f>
        <v/>
      </c>
      <c r="I238" s="56" t="str">
        <f>IF(B237=$E$8,SUM($I$25:I237),IF(B237&gt;$E$8,"",G238+H238))</f>
        <v/>
      </c>
      <c r="J238" s="56" t="str">
        <f t="shared" si="82"/>
        <v/>
      </c>
      <c r="K238" s="56" t="str">
        <f t="shared" si="83"/>
        <v/>
      </c>
      <c r="L238" s="56"/>
      <c r="M238" s="56" t="str">
        <f t="shared" si="84"/>
        <v/>
      </c>
      <c r="N238" s="56" t="str">
        <f t="shared" si="79"/>
        <v/>
      </c>
      <c r="O238" s="56" t="str">
        <f t="shared" si="78"/>
        <v/>
      </c>
      <c r="Q238" s="59" t="str">
        <f>IF(B237=$E$8,XIRR(I$24:I237,D$24:D237),"")</f>
        <v/>
      </c>
      <c r="R238" s="56" t="str">
        <f t="shared" si="77"/>
        <v/>
      </c>
      <c r="S238" s="56">
        <f t="shared" si="71"/>
        <v>0</v>
      </c>
      <c r="T238" s="21" t="e">
        <f t="shared" ca="1" si="72"/>
        <v>#VALUE!</v>
      </c>
      <c r="U238" s="21" t="e">
        <f t="shared" ca="1" si="73"/>
        <v>#VALUE!</v>
      </c>
      <c r="V238" s="21" t="e">
        <f t="shared" ca="1" si="74"/>
        <v>#VALUE!</v>
      </c>
      <c r="W238" s="60" t="e">
        <f t="shared" ca="1" si="75"/>
        <v>#VALUE!</v>
      </c>
      <c r="X238" s="61" t="e">
        <f t="shared" ca="1" si="76"/>
        <v>#VALUE!</v>
      </c>
    </row>
    <row r="239" spans="2:24" x14ac:dyDescent="0.25">
      <c r="B239" s="58" t="str">
        <f t="shared" si="69"/>
        <v/>
      </c>
      <c r="C239" s="55" t="str">
        <f t="shared" si="81"/>
        <v/>
      </c>
      <c r="D239" s="55" t="str">
        <f t="shared" ca="1" si="67"/>
        <v xml:space="preserve"> </v>
      </c>
      <c r="E239" s="58" t="str">
        <f t="shared" si="68"/>
        <v/>
      </c>
      <c r="F239" s="56" t="str">
        <f t="shared" si="80"/>
        <v/>
      </c>
      <c r="G239" s="56" t="str">
        <f>IF(AND(B238="",B240=""),"",IF(B239="",ROUND(SUM($G$25:G238),2),IF(B239=$E$8,$F$24-ROUND(SUM($G$25:G238),2),ROUND($F$24/$E$8,2))))</f>
        <v/>
      </c>
      <c r="H239" s="56" t="str">
        <f>IF(B238=$E$8,ROUND(SUM($H$25:H238),2),IF(B239&gt;$E$8,"",IF(U239&lt;&gt;U238,ROUND(SUM(W239*$E$9*F238/U239,X239*$E$9*F238/U238),2),ROUND(F238*$E$9*E239/U238,2))))</f>
        <v/>
      </c>
      <c r="I239" s="56" t="str">
        <f>IF(B238=$E$8,SUM($I$25:I238),IF(B238&gt;$E$8,"",G239+H239))</f>
        <v/>
      </c>
      <c r="J239" s="56" t="str">
        <f t="shared" si="82"/>
        <v/>
      </c>
      <c r="K239" s="56" t="str">
        <f t="shared" si="83"/>
        <v/>
      </c>
      <c r="L239" s="56"/>
      <c r="M239" s="56" t="str">
        <f t="shared" si="84"/>
        <v/>
      </c>
      <c r="N239" s="56" t="str">
        <f t="shared" si="79"/>
        <v/>
      </c>
      <c r="O239" s="56" t="str">
        <f t="shared" si="78"/>
        <v/>
      </c>
      <c r="Q239" s="59" t="str">
        <f>IF(B238=$E$8,XIRR(I$24:I238,D$24:D238),"")</f>
        <v/>
      </c>
      <c r="R239" s="56" t="str">
        <f t="shared" si="77"/>
        <v/>
      </c>
      <c r="S239" s="56">
        <f t="shared" si="71"/>
        <v>0</v>
      </c>
      <c r="T239" s="21" t="e">
        <f t="shared" ca="1" si="72"/>
        <v>#VALUE!</v>
      </c>
      <c r="U239" s="21" t="e">
        <f t="shared" ca="1" si="73"/>
        <v>#VALUE!</v>
      </c>
      <c r="V239" s="21" t="e">
        <f t="shared" ca="1" si="74"/>
        <v>#VALUE!</v>
      </c>
      <c r="W239" s="60" t="e">
        <f t="shared" ca="1" si="75"/>
        <v>#VALUE!</v>
      </c>
      <c r="X239" s="61" t="e">
        <f t="shared" ca="1" si="76"/>
        <v>#VALUE!</v>
      </c>
    </row>
    <row r="240" spans="2:24" x14ac:dyDescent="0.25">
      <c r="B240" s="58" t="str">
        <f t="shared" si="69"/>
        <v/>
      </c>
      <c r="C240" s="55" t="str">
        <f t="shared" si="81"/>
        <v/>
      </c>
      <c r="D240" s="55" t="str">
        <f t="shared" ca="1" si="67"/>
        <v xml:space="preserve"> </v>
      </c>
      <c r="E240" s="58" t="str">
        <f t="shared" si="68"/>
        <v/>
      </c>
      <c r="F240" s="56" t="str">
        <f t="shared" si="80"/>
        <v/>
      </c>
      <c r="G240" s="56" t="str">
        <f>IF(AND(B239="",B241=""),"",IF(B240="",ROUND(SUM($G$25:G239),2),IF(B240=$E$8,$F$24-ROUND(SUM($G$25:G239),2),ROUND($F$24/$E$8,2))))</f>
        <v/>
      </c>
      <c r="H240" s="56" t="str">
        <f>IF(B239=$E$8,ROUND(SUM($H$25:H239),2),IF(B240&gt;$E$8,"",IF(U240&lt;&gt;U239,ROUND(SUM(W240*$E$9*F239/U240,X240*$E$9*F239/U239),2),ROUND(F239*$E$9*E240/U239,2))))</f>
        <v/>
      </c>
      <c r="I240" s="56" t="str">
        <f>IF(B239=$E$8,SUM($I$25:I239),IF(B239&gt;$E$8,"",G240+H240))</f>
        <v/>
      </c>
      <c r="J240" s="56" t="str">
        <f t="shared" si="82"/>
        <v/>
      </c>
      <c r="K240" s="56" t="str">
        <f t="shared" si="83"/>
        <v/>
      </c>
      <c r="L240" s="56"/>
      <c r="M240" s="56" t="str">
        <f t="shared" si="84"/>
        <v/>
      </c>
      <c r="N240" s="56" t="str">
        <f t="shared" si="79"/>
        <v/>
      </c>
      <c r="O240" s="56" t="str">
        <f t="shared" si="78"/>
        <v/>
      </c>
      <c r="Q240" s="59" t="str">
        <f>IF(B239=$E$8,XIRR(I$24:I239,D$24:D239),"")</f>
        <v/>
      </c>
      <c r="R240" s="56" t="str">
        <f t="shared" si="77"/>
        <v/>
      </c>
      <c r="S240" s="56">
        <f t="shared" si="71"/>
        <v>0</v>
      </c>
      <c r="T240" s="21" t="e">
        <f t="shared" ca="1" si="72"/>
        <v>#VALUE!</v>
      </c>
      <c r="U240" s="21" t="e">
        <f t="shared" ca="1" si="73"/>
        <v>#VALUE!</v>
      </c>
      <c r="V240" s="21" t="e">
        <f t="shared" ca="1" si="74"/>
        <v>#VALUE!</v>
      </c>
      <c r="W240" s="60" t="e">
        <f t="shared" ca="1" si="75"/>
        <v>#VALUE!</v>
      </c>
      <c r="X240" s="61" t="e">
        <f t="shared" ca="1" si="76"/>
        <v>#VALUE!</v>
      </c>
    </row>
    <row r="241" spans="2:24" x14ac:dyDescent="0.25">
      <c r="B241" s="58" t="str">
        <f t="shared" si="69"/>
        <v/>
      </c>
      <c r="C241" s="55" t="str">
        <f t="shared" si="81"/>
        <v/>
      </c>
      <c r="D241" s="55" t="str">
        <f t="shared" ca="1" si="67"/>
        <v xml:space="preserve"> </v>
      </c>
      <c r="E241" s="58" t="str">
        <f t="shared" si="68"/>
        <v/>
      </c>
      <c r="F241" s="56" t="str">
        <f t="shared" si="80"/>
        <v/>
      </c>
      <c r="G241" s="56" t="str">
        <f>IF(AND(B240="",B242=""),"",IF(B241="",ROUND(SUM($G$25:G240),2),IF(B241=$E$8,$F$24-ROUND(SUM($G$25:G240),2),ROUND($F$24/$E$8,2))))</f>
        <v/>
      </c>
      <c r="H241" s="56" t="str">
        <f>IF(B240=$E$8,ROUND(SUM($H$25:H240),2),IF(B241&gt;$E$8,"",IF(U241&lt;&gt;U240,ROUND(SUM(W241*$E$9*F240/U241,X241*$E$9*F240/U240),2),ROUND(F240*$E$9*E241/U240,2))))</f>
        <v/>
      </c>
      <c r="I241" s="56" t="str">
        <f>IF(B240=$E$8,SUM($I$25:I240),IF(B240&gt;$E$8,"",G241+H241))</f>
        <v/>
      </c>
      <c r="J241" s="56" t="str">
        <f t="shared" si="82"/>
        <v/>
      </c>
      <c r="K241" s="56" t="str">
        <f>IF($E$8&gt;B240,$O$9,IF($E$8=B240,SUM($K$24:K240)," "))</f>
        <v xml:space="preserve"> </v>
      </c>
      <c r="L241" s="56" t="str">
        <f>IF($E$8&gt;B240,($P$8+$O$10*F240),IF(B240=$E$8,$L$37+$L$24+$L$49+$L$61+$L$73+$L$85+$L$97+$L$109+$L$121+$L$133+$L$145+$L$157+$L$169+$L$181+$L$193+$L$205+$L$217+$L$229,""))</f>
        <v/>
      </c>
      <c r="M241" s="56" t="str">
        <f t="shared" si="84"/>
        <v/>
      </c>
      <c r="N241" s="56" t="str">
        <f t="shared" si="79"/>
        <v/>
      </c>
      <c r="O241" s="56" t="str">
        <f t="shared" si="78"/>
        <v/>
      </c>
      <c r="Q241" s="59" t="str">
        <f>IF(B240=$E$8,XIRR(I$24:I240,D$24:D240),"")</f>
        <v/>
      </c>
      <c r="R241" s="56" t="str">
        <f t="shared" si="77"/>
        <v/>
      </c>
      <c r="S241" s="56">
        <f t="shared" si="71"/>
        <v>0</v>
      </c>
      <c r="T241" s="21" t="e">
        <f t="shared" ca="1" si="72"/>
        <v>#VALUE!</v>
      </c>
      <c r="U241" s="21" t="e">
        <f t="shared" ca="1" si="73"/>
        <v>#VALUE!</v>
      </c>
      <c r="V241" s="21" t="e">
        <f t="shared" ca="1" si="74"/>
        <v>#VALUE!</v>
      </c>
      <c r="W241" s="60" t="e">
        <f t="shared" ca="1" si="75"/>
        <v>#VALUE!</v>
      </c>
      <c r="X241" s="61" t="e">
        <f t="shared" ca="1" si="76"/>
        <v>#VALUE!</v>
      </c>
    </row>
    <row r="242" spans="2:24" x14ac:dyDescent="0.25">
      <c r="B242" s="58" t="str">
        <f t="shared" si="69"/>
        <v/>
      </c>
      <c r="C242" s="55" t="str">
        <f t="shared" si="81"/>
        <v/>
      </c>
      <c r="D242" s="55" t="str">
        <f t="shared" ca="1" si="67"/>
        <v xml:space="preserve"> </v>
      </c>
      <c r="E242" s="58" t="str">
        <f t="shared" si="68"/>
        <v/>
      </c>
      <c r="F242" s="56" t="str">
        <f t="shared" si="80"/>
        <v/>
      </c>
      <c r="G242" s="56" t="str">
        <f>IF(AND(B241="",B243=""),"",IF(B242="",ROUND(SUM($G$25:G241),2),IF(B242=$E$8,$F$24-ROUND(SUM($G$25:G241),2),ROUND($F$24/$E$8,2))))</f>
        <v/>
      </c>
      <c r="H242" s="56" t="str">
        <f>IF(B241=$E$8,ROUND(SUM($H$25:H241),2),IF(B242&gt;$E$8,"",IF(U242&lt;&gt;U241,ROUND(SUM(W242*$E$9*F241/U242,X242*$E$9*F241/U241),2),ROUND(F241*$E$9*E242/U241,2))))</f>
        <v/>
      </c>
      <c r="I242" s="56" t="str">
        <f>IF(B241=$E$8,SUM($I$25:I241),IF(B241&gt;$E$8,"",G242+H242))</f>
        <v/>
      </c>
      <c r="J242" s="56" t="str">
        <f t="shared" si="82"/>
        <v/>
      </c>
      <c r="K242" s="56" t="str">
        <f t="shared" ref="K242:K252" si="85">IF(B241=$E$8,$K$24,"")</f>
        <v/>
      </c>
      <c r="L242" s="56"/>
      <c r="M242" s="56" t="str">
        <f t="shared" si="84"/>
        <v/>
      </c>
      <c r="N242" s="56" t="str">
        <f t="shared" si="79"/>
        <v/>
      </c>
      <c r="O242" s="56" t="str">
        <f t="shared" si="78"/>
        <v/>
      </c>
      <c r="Q242" s="59" t="str">
        <f>IF(B241=$E$8,XIRR(I$24:I241,D$24:D241),"")</f>
        <v/>
      </c>
      <c r="R242" s="56" t="str">
        <f t="shared" si="77"/>
        <v/>
      </c>
      <c r="S242" s="56">
        <f t="shared" si="71"/>
        <v>0</v>
      </c>
      <c r="T242" s="21" t="e">
        <f t="shared" ca="1" si="72"/>
        <v>#VALUE!</v>
      </c>
      <c r="U242" s="21" t="e">
        <f t="shared" ca="1" si="73"/>
        <v>#VALUE!</v>
      </c>
      <c r="V242" s="21" t="e">
        <f t="shared" ca="1" si="74"/>
        <v>#VALUE!</v>
      </c>
      <c r="W242" s="60" t="e">
        <f t="shared" ca="1" si="75"/>
        <v>#VALUE!</v>
      </c>
      <c r="X242" s="61" t="e">
        <f t="shared" ca="1" si="76"/>
        <v>#VALUE!</v>
      </c>
    </row>
    <row r="243" spans="2:24" x14ac:dyDescent="0.25">
      <c r="B243" s="58" t="str">
        <f t="shared" si="69"/>
        <v/>
      </c>
      <c r="C243" s="55" t="str">
        <f t="shared" si="81"/>
        <v/>
      </c>
      <c r="D243" s="55" t="str">
        <f t="shared" ca="1" si="67"/>
        <v xml:space="preserve"> </v>
      </c>
      <c r="E243" s="58" t="str">
        <f t="shared" si="68"/>
        <v/>
      </c>
      <c r="F243" s="56" t="str">
        <f t="shared" si="80"/>
        <v/>
      </c>
      <c r="G243" s="56" t="str">
        <f>IF(AND(B242="",B244=""),"",IF(B243="",ROUND(SUM($G$25:G242),2),IF(B243=$E$8,$F$24-ROUND(SUM($G$25:G242),2),ROUND($F$24/$E$8,2))))</f>
        <v/>
      </c>
      <c r="H243" s="56" t="str">
        <f>IF(B242=$E$8,ROUND(SUM($H$25:H242),2),IF(B243&gt;$E$8,"",IF(U243&lt;&gt;U242,ROUND(SUM(W243*$E$9*F242/U243,X243*$E$9*F242/U242),2),ROUND(F242*$E$9*E243/U242,2))))</f>
        <v/>
      </c>
      <c r="I243" s="56" t="str">
        <f>IF(B242=$E$8,SUM($I$25:I242),IF(B242&gt;$E$8,"",G243+H243))</f>
        <v/>
      </c>
      <c r="J243" s="56" t="str">
        <f t="shared" si="82"/>
        <v/>
      </c>
      <c r="K243" s="56" t="str">
        <f t="shared" si="85"/>
        <v/>
      </c>
      <c r="L243" s="56"/>
      <c r="M243" s="56" t="str">
        <f t="shared" si="84"/>
        <v/>
      </c>
      <c r="N243" s="56" t="str">
        <f t="shared" si="79"/>
        <v/>
      </c>
      <c r="O243" s="56" t="str">
        <f t="shared" si="78"/>
        <v/>
      </c>
      <c r="Q243" s="59" t="str">
        <f>IF(B242=$E$8,XIRR(I$24:I242,D$24:D242),"")</f>
        <v/>
      </c>
      <c r="R243" s="56" t="str">
        <f t="shared" si="77"/>
        <v/>
      </c>
      <c r="S243" s="56">
        <f t="shared" si="71"/>
        <v>0</v>
      </c>
      <c r="T243" s="21" t="e">
        <f t="shared" ca="1" si="72"/>
        <v>#VALUE!</v>
      </c>
      <c r="U243" s="21" t="e">
        <f t="shared" ca="1" si="73"/>
        <v>#VALUE!</v>
      </c>
      <c r="V243" s="21" t="e">
        <f t="shared" ca="1" si="74"/>
        <v>#VALUE!</v>
      </c>
      <c r="W243" s="60" t="e">
        <f t="shared" ca="1" si="75"/>
        <v>#VALUE!</v>
      </c>
      <c r="X243" s="61" t="e">
        <f t="shared" ca="1" si="76"/>
        <v>#VALUE!</v>
      </c>
    </row>
    <row r="244" spans="2:24" x14ac:dyDescent="0.25">
      <c r="B244" s="58" t="str">
        <f t="shared" si="69"/>
        <v/>
      </c>
      <c r="C244" s="55" t="str">
        <f t="shared" si="81"/>
        <v/>
      </c>
      <c r="D244" s="55" t="str">
        <f t="shared" ca="1" si="67"/>
        <v xml:space="preserve"> </v>
      </c>
      <c r="E244" s="58" t="str">
        <f t="shared" si="68"/>
        <v/>
      </c>
      <c r="F244" s="56" t="str">
        <f t="shared" si="80"/>
        <v/>
      </c>
      <c r="G244" s="56" t="str">
        <f>IF(AND(B243="",B245=""),"",IF(B244="",ROUND(SUM($G$25:G243),2),IF(B244=$E$8,$F$24-ROUND(SUM($G$25:G243),2),ROUND($F$24/$E$8,2))))</f>
        <v/>
      </c>
      <c r="H244" s="56" t="str">
        <f>IF(B243=$E$8,ROUND(SUM($H$25:H243),2),IF(B244&gt;$E$8,"",IF(U244&lt;&gt;U243,ROUND(SUM(W244*$E$9*F243/U244,X244*$E$9*F243/U243),2),ROUND(F243*$E$9*E244/U243,2))))</f>
        <v/>
      </c>
      <c r="I244" s="56" t="str">
        <f>IF(B243=$E$8,SUM($I$25:I243),IF(B243&gt;$E$8,"",G244+H244))</f>
        <v/>
      </c>
      <c r="J244" s="56" t="str">
        <f t="shared" si="82"/>
        <v/>
      </c>
      <c r="K244" s="56" t="str">
        <f t="shared" si="85"/>
        <v/>
      </c>
      <c r="L244" s="56"/>
      <c r="M244" s="56" t="str">
        <f t="shared" si="84"/>
        <v/>
      </c>
      <c r="N244" s="56" t="str">
        <f t="shared" si="79"/>
        <v/>
      </c>
      <c r="O244" s="56" t="str">
        <f t="shared" si="78"/>
        <v/>
      </c>
      <c r="Q244" s="59" t="str">
        <f>IF(B243=$E$8,XIRR(I$24:I243,D$24:D243),"")</f>
        <v/>
      </c>
      <c r="R244" s="56" t="str">
        <f t="shared" si="77"/>
        <v/>
      </c>
      <c r="S244" s="56">
        <f t="shared" si="71"/>
        <v>0</v>
      </c>
      <c r="T244" s="21" t="e">
        <f t="shared" ca="1" si="72"/>
        <v>#VALUE!</v>
      </c>
      <c r="U244" s="21" t="e">
        <f t="shared" ca="1" si="73"/>
        <v>#VALUE!</v>
      </c>
      <c r="V244" s="21" t="e">
        <f t="shared" ca="1" si="74"/>
        <v>#VALUE!</v>
      </c>
      <c r="W244" s="60" t="e">
        <f t="shared" ca="1" si="75"/>
        <v>#VALUE!</v>
      </c>
      <c r="X244" s="61" t="e">
        <f t="shared" ca="1" si="76"/>
        <v>#VALUE!</v>
      </c>
    </row>
    <row r="245" spans="2:24" x14ac:dyDescent="0.25">
      <c r="B245" s="58" t="str">
        <f t="shared" si="69"/>
        <v/>
      </c>
      <c r="C245" s="55" t="str">
        <f t="shared" si="81"/>
        <v/>
      </c>
      <c r="D245" s="55" t="str">
        <f t="shared" ca="1" si="67"/>
        <v xml:space="preserve"> </v>
      </c>
      <c r="E245" s="58" t="str">
        <f t="shared" si="68"/>
        <v/>
      </c>
      <c r="F245" s="56" t="str">
        <f t="shared" si="80"/>
        <v/>
      </c>
      <c r="G245" s="56" t="str">
        <f>IF(AND(B244="",B246=""),"",IF(B245="",ROUND(SUM($G$25:G244),2),IF(B245=$E$8,$F$24-ROUND(SUM($G$25:G244),2),ROUND($F$24/$E$8,2))))</f>
        <v/>
      </c>
      <c r="H245" s="56" t="str">
        <f>IF(B244=$E$8,ROUND(SUM($H$25:H244),2),IF(B245&gt;$E$8,"",IF(U245&lt;&gt;U244,ROUND(SUM(W245*$E$9*F244/U245,X245*$E$9*F244/U244),2),ROUND(F244*$E$9*E245/U244,2))))</f>
        <v/>
      </c>
      <c r="I245" s="56" t="str">
        <f>IF(B244=$E$8,SUM($I$25:I244),IF(B244&gt;$E$8,"",G245+H245))</f>
        <v/>
      </c>
      <c r="J245" s="56" t="str">
        <f t="shared" si="82"/>
        <v/>
      </c>
      <c r="K245" s="56" t="str">
        <f t="shared" si="85"/>
        <v/>
      </c>
      <c r="L245" s="56"/>
      <c r="M245" s="56" t="str">
        <f t="shared" si="84"/>
        <v/>
      </c>
      <c r="N245" s="56" t="str">
        <f t="shared" si="79"/>
        <v/>
      </c>
      <c r="O245" s="56" t="str">
        <f t="shared" si="78"/>
        <v/>
      </c>
      <c r="Q245" s="59" t="str">
        <f>IF(B244=$E$8,XIRR(I$24:I244,D$24:D244),"")</f>
        <v/>
      </c>
      <c r="R245" s="56" t="str">
        <f t="shared" si="77"/>
        <v/>
      </c>
      <c r="S245" s="56">
        <f t="shared" si="71"/>
        <v>0</v>
      </c>
      <c r="T245" s="21" t="e">
        <f t="shared" ca="1" si="72"/>
        <v>#VALUE!</v>
      </c>
      <c r="U245" s="21" t="e">
        <f t="shared" ca="1" si="73"/>
        <v>#VALUE!</v>
      </c>
      <c r="V245" s="21" t="e">
        <f t="shared" ca="1" si="74"/>
        <v>#VALUE!</v>
      </c>
      <c r="W245" s="60" t="e">
        <f t="shared" ca="1" si="75"/>
        <v>#VALUE!</v>
      </c>
      <c r="X245" s="61" t="e">
        <f t="shared" ca="1" si="76"/>
        <v>#VALUE!</v>
      </c>
    </row>
    <row r="246" spans="2:24" x14ac:dyDescent="0.25">
      <c r="B246" s="58" t="str">
        <f t="shared" si="69"/>
        <v/>
      </c>
      <c r="C246" s="55" t="str">
        <f t="shared" si="81"/>
        <v/>
      </c>
      <c r="D246" s="55" t="str">
        <f t="shared" ca="1" si="67"/>
        <v xml:space="preserve"> </v>
      </c>
      <c r="E246" s="58" t="str">
        <f t="shared" si="68"/>
        <v/>
      </c>
      <c r="F246" s="56" t="str">
        <f t="shared" si="80"/>
        <v/>
      </c>
      <c r="G246" s="56" t="str">
        <f>IF(AND(B245="",B247=""),"",IF(B246="",ROUND(SUM($G$25:G245),2),IF(B246=$E$8,$F$24-ROUND(SUM($G$25:G245),2),ROUND($F$24/$E$8,2))))</f>
        <v/>
      </c>
      <c r="H246" s="56" t="str">
        <f>IF(B245=$E$8,ROUND(SUM($H$25:H245),2),IF(B246&gt;$E$8,"",IF(U246&lt;&gt;U245,ROUND(SUM(W246*$E$9*F245/U246,X246*$E$9*F245/U245),2),ROUND(F245*$E$9*E246/U245,2))))</f>
        <v/>
      </c>
      <c r="I246" s="56" t="str">
        <f>IF(B245=$E$8,SUM($I$25:I245),IF(B245&gt;$E$8,"",G246+H246))</f>
        <v/>
      </c>
      <c r="J246" s="56" t="str">
        <f t="shared" si="82"/>
        <v/>
      </c>
      <c r="K246" s="56" t="str">
        <f t="shared" si="85"/>
        <v/>
      </c>
      <c r="L246" s="56"/>
      <c r="M246" s="56" t="str">
        <f t="shared" si="84"/>
        <v/>
      </c>
      <c r="N246" s="56" t="str">
        <f t="shared" si="79"/>
        <v/>
      </c>
      <c r="O246" s="56" t="str">
        <f t="shared" si="78"/>
        <v/>
      </c>
      <c r="Q246" s="59" t="str">
        <f>IF(B245=$E$8,XIRR(I$24:I245,D$24:D245),"")</f>
        <v/>
      </c>
      <c r="R246" s="56" t="str">
        <f t="shared" si="77"/>
        <v/>
      </c>
      <c r="S246" s="56">
        <f t="shared" si="71"/>
        <v>0</v>
      </c>
      <c r="T246" s="21" t="e">
        <f t="shared" ca="1" si="72"/>
        <v>#VALUE!</v>
      </c>
      <c r="U246" s="21" t="e">
        <f t="shared" ca="1" si="73"/>
        <v>#VALUE!</v>
      </c>
      <c r="V246" s="21" t="e">
        <f t="shared" ca="1" si="74"/>
        <v>#VALUE!</v>
      </c>
      <c r="W246" s="60" t="e">
        <f t="shared" ca="1" si="75"/>
        <v>#VALUE!</v>
      </c>
      <c r="X246" s="61" t="e">
        <f t="shared" ca="1" si="76"/>
        <v>#VALUE!</v>
      </c>
    </row>
    <row r="247" spans="2:24" x14ac:dyDescent="0.25">
      <c r="B247" s="58" t="str">
        <f t="shared" si="69"/>
        <v/>
      </c>
      <c r="C247" s="55" t="str">
        <f t="shared" si="81"/>
        <v/>
      </c>
      <c r="D247" s="55" t="str">
        <f t="shared" ca="1" si="67"/>
        <v xml:space="preserve"> </v>
      </c>
      <c r="E247" s="58" t="str">
        <f t="shared" si="68"/>
        <v/>
      </c>
      <c r="F247" s="56" t="str">
        <f t="shared" si="80"/>
        <v/>
      </c>
      <c r="G247" s="56" t="str">
        <f>IF(AND(B246="",B248=""),"",IF(B247="",ROUND(SUM($G$25:G246),2),IF(B247=$E$8,$F$24-ROUND(SUM($G$25:G246),2),ROUND($F$24/$E$8,2))))</f>
        <v/>
      </c>
      <c r="H247" s="56" t="str">
        <f>IF(B246=$E$8,ROUND(SUM($H$25:H246),2),IF(B247&gt;$E$8,"",IF(U247&lt;&gt;U246,ROUND(SUM(W247*$E$9*F246/U247,X247*$E$9*F246/U246),2),ROUND(F246*$E$9*E247/U246,2))))</f>
        <v/>
      </c>
      <c r="I247" s="56" t="str">
        <f>IF(B246=$E$8,SUM($I$25:I246),IF(B246&gt;$E$8,"",G247+H247))</f>
        <v/>
      </c>
      <c r="J247" s="56" t="str">
        <f t="shared" si="82"/>
        <v/>
      </c>
      <c r="K247" s="56" t="str">
        <f t="shared" si="85"/>
        <v/>
      </c>
      <c r="L247" s="56"/>
      <c r="M247" s="56" t="str">
        <f t="shared" si="84"/>
        <v/>
      </c>
      <c r="N247" s="56" t="str">
        <f t="shared" si="79"/>
        <v/>
      </c>
      <c r="O247" s="56" t="str">
        <f t="shared" si="78"/>
        <v/>
      </c>
      <c r="Q247" s="59" t="str">
        <f>IF(B246=$E$8,XIRR(I$24:I246,D$24:D246),"")</f>
        <v/>
      </c>
      <c r="R247" s="56" t="str">
        <f t="shared" si="77"/>
        <v/>
      </c>
      <c r="S247" s="56">
        <f t="shared" si="71"/>
        <v>0</v>
      </c>
      <c r="T247" s="21" t="e">
        <f t="shared" ca="1" si="72"/>
        <v>#VALUE!</v>
      </c>
      <c r="U247" s="21" t="e">
        <f t="shared" ca="1" si="73"/>
        <v>#VALUE!</v>
      </c>
      <c r="V247" s="21" t="e">
        <f t="shared" ca="1" si="74"/>
        <v>#VALUE!</v>
      </c>
      <c r="W247" s="60" t="e">
        <f t="shared" ca="1" si="75"/>
        <v>#VALUE!</v>
      </c>
      <c r="X247" s="61" t="e">
        <f t="shared" ca="1" si="76"/>
        <v>#VALUE!</v>
      </c>
    </row>
    <row r="248" spans="2:24" x14ac:dyDescent="0.25">
      <c r="B248" s="58" t="str">
        <f t="shared" si="69"/>
        <v/>
      </c>
      <c r="C248" s="55" t="str">
        <f t="shared" si="81"/>
        <v/>
      </c>
      <c r="D248" s="55" t="str">
        <f t="shared" ca="1" si="67"/>
        <v xml:space="preserve"> </v>
      </c>
      <c r="E248" s="58" t="str">
        <f t="shared" si="68"/>
        <v/>
      </c>
      <c r="F248" s="56" t="str">
        <f t="shared" si="80"/>
        <v/>
      </c>
      <c r="G248" s="56" t="str">
        <f>IF(AND(B247="",B249=""),"",IF(B248="",ROUND(SUM($G$25:G247),2),IF(B248=$E$8,$F$24-ROUND(SUM($G$25:G247),2),ROUND($F$24/$E$8,2))))</f>
        <v/>
      </c>
      <c r="H248" s="56" t="str">
        <f>IF(B247=$E$8,ROUND(SUM($H$25:H247),2),IF(B248&gt;$E$8,"",IF(U248&lt;&gt;U247,ROUND(SUM(W248*$E$9*F247/U248,X248*$E$9*F247/U247),2),ROUND(F247*$E$9*E248/U247,2))))</f>
        <v/>
      </c>
      <c r="I248" s="56" t="str">
        <f>IF(B247=$E$8,SUM($I$25:I247),IF(B247&gt;$E$8,"",G248+H248))</f>
        <v/>
      </c>
      <c r="J248" s="56" t="str">
        <f t="shared" si="82"/>
        <v/>
      </c>
      <c r="K248" s="56" t="str">
        <f t="shared" si="85"/>
        <v/>
      </c>
      <c r="L248" s="56"/>
      <c r="M248" s="56" t="str">
        <f t="shared" si="84"/>
        <v/>
      </c>
      <c r="N248" s="56" t="str">
        <f t="shared" si="79"/>
        <v/>
      </c>
      <c r="O248" s="56" t="str">
        <f t="shared" si="78"/>
        <v/>
      </c>
      <c r="Q248" s="59" t="str">
        <f>IF(B247=$E$8,XIRR(I$24:I247,D$24:D247),"")</f>
        <v/>
      </c>
      <c r="R248" s="56" t="str">
        <f t="shared" si="77"/>
        <v/>
      </c>
      <c r="S248" s="56">
        <f t="shared" si="71"/>
        <v>0</v>
      </c>
      <c r="T248" s="21" t="e">
        <f t="shared" ca="1" si="72"/>
        <v>#VALUE!</v>
      </c>
      <c r="U248" s="21" t="e">
        <f t="shared" ca="1" si="73"/>
        <v>#VALUE!</v>
      </c>
      <c r="V248" s="21" t="e">
        <f t="shared" ca="1" si="74"/>
        <v>#VALUE!</v>
      </c>
      <c r="W248" s="60" t="e">
        <f t="shared" ca="1" si="75"/>
        <v>#VALUE!</v>
      </c>
      <c r="X248" s="61" t="e">
        <f t="shared" ca="1" si="76"/>
        <v>#VALUE!</v>
      </c>
    </row>
    <row r="249" spans="2:24" x14ac:dyDescent="0.25">
      <c r="B249" s="58" t="str">
        <f t="shared" si="69"/>
        <v/>
      </c>
      <c r="C249" s="55" t="str">
        <f t="shared" si="81"/>
        <v/>
      </c>
      <c r="D249" s="55" t="str">
        <f t="shared" ca="1" si="67"/>
        <v xml:space="preserve"> </v>
      </c>
      <c r="E249" s="58" t="str">
        <f t="shared" si="68"/>
        <v/>
      </c>
      <c r="F249" s="56" t="str">
        <f t="shared" si="80"/>
        <v/>
      </c>
      <c r="G249" s="56" t="str">
        <f>IF(AND(B248="",B250=""),"",IF(B249="",ROUND(SUM($G$25:G248),2),IF(B249=$E$8,$F$24-ROUND(SUM($G$25:G248),2),ROUND($F$24/$E$8,2))))</f>
        <v/>
      </c>
      <c r="H249" s="56" t="str">
        <f>IF(B248=$E$8,ROUND(SUM($H$25:H248),2),IF(B249&gt;$E$8,"",IF(U249&lt;&gt;U248,ROUND(SUM(W249*$E$9*F248/U249,X249*$E$9*F248/U248),2),ROUND(F248*$E$9*E249/U248,2))))</f>
        <v/>
      </c>
      <c r="I249" s="56" t="str">
        <f>IF(B248=$E$8,SUM($I$25:I248),IF(B248&gt;$E$8,"",G249+H249))</f>
        <v/>
      </c>
      <c r="J249" s="56" t="str">
        <f t="shared" si="82"/>
        <v/>
      </c>
      <c r="K249" s="56" t="str">
        <f t="shared" si="85"/>
        <v/>
      </c>
      <c r="L249" s="56"/>
      <c r="M249" s="56" t="str">
        <f t="shared" si="84"/>
        <v/>
      </c>
      <c r="N249" s="56" t="str">
        <f t="shared" si="79"/>
        <v/>
      </c>
      <c r="O249" s="56" t="str">
        <f t="shared" si="78"/>
        <v/>
      </c>
      <c r="Q249" s="59" t="str">
        <f>IF(B248=$E$8,XIRR(I$24:I248,D$24:D248),"")</f>
        <v/>
      </c>
      <c r="R249" s="56" t="str">
        <f t="shared" si="77"/>
        <v/>
      </c>
      <c r="S249" s="56">
        <f t="shared" si="71"/>
        <v>0</v>
      </c>
      <c r="T249" s="21" t="e">
        <f t="shared" ca="1" si="72"/>
        <v>#VALUE!</v>
      </c>
      <c r="U249" s="21" t="e">
        <f t="shared" ca="1" si="73"/>
        <v>#VALUE!</v>
      </c>
      <c r="V249" s="21" t="e">
        <f t="shared" ca="1" si="74"/>
        <v>#VALUE!</v>
      </c>
      <c r="W249" s="60" t="e">
        <f t="shared" ca="1" si="75"/>
        <v>#VALUE!</v>
      </c>
      <c r="X249" s="61" t="e">
        <f t="shared" ca="1" si="76"/>
        <v>#VALUE!</v>
      </c>
    </row>
    <row r="250" spans="2:24" x14ac:dyDescent="0.25">
      <c r="B250" s="58" t="str">
        <f t="shared" si="69"/>
        <v/>
      </c>
      <c r="C250" s="55" t="str">
        <f t="shared" si="81"/>
        <v/>
      </c>
      <c r="D250" s="55" t="str">
        <f t="shared" ca="1" si="67"/>
        <v xml:space="preserve"> </v>
      </c>
      <c r="E250" s="58" t="str">
        <f t="shared" si="68"/>
        <v/>
      </c>
      <c r="F250" s="56" t="str">
        <f t="shared" si="80"/>
        <v/>
      </c>
      <c r="G250" s="56" t="str">
        <f>IF(AND(B249="",B251=""),"",IF(B250="",ROUND(SUM($G$25:G249),2),IF(B250=$E$8,$F$24-ROUND(SUM($G$25:G249),2),ROUND($F$24/$E$8,2))))</f>
        <v/>
      </c>
      <c r="H250" s="56" t="str">
        <f>IF(B249=$E$8,ROUND(SUM($H$25:H249),2),IF(B250&gt;$E$8,"",IF(U250&lt;&gt;U249,ROUND(SUM(W250*$E$9*F249/U250,X250*$E$9*F249/U249),2),ROUND(F249*$E$9*E250/U249,2))))</f>
        <v/>
      </c>
      <c r="I250" s="56" t="str">
        <f>IF(B249=$E$8,SUM($I$25:I249),IF(B249&gt;$E$8,"",G250+H250))</f>
        <v/>
      </c>
      <c r="J250" s="56" t="str">
        <f t="shared" si="82"/>
        <v/>
      </c>
      <c r="K250" s="56" t="str">
        <f t="shared" si="85"/>
        <v/>
      </c>
      <c r="L250" s="56"/>
      <c r="M250" s="56" t="str">
        <f t="shared" si="84"/>
        <v/>
      </c>
      <c r="N250" s="56" t="str">
        <f t="shared" si="79"/>
        <v/>
      </c>
      <c r="O250" s="56" t="str">
        <f t="shared" si="78"/>
        <v/>
      </c>
      <c r="Q250" s="59" t="str">
        <f>IF(B249=$E$8,XIRR(I$24:I249,D$24:D249),"")</f>
        <v/>
      </c>
      <c r="R250" s="56" t="str">
        <f t="shared" si="77"/>
        <v/>
      </c>
      <c r="S250" s="56">
        <f t="shared" si="71"/>
        <v>0</v>
      </c>
      <c r="T250" s="21" t="e">
        <f t="shared" ca="1" si="72"/>
        <v>#VALUE!</v>
      </c>
      <c r="U250" s="21" t="e">
        <f t="shared" ca="1" si="73"/>
        <v>#VALUE!</v>
      </c>
      <c r="V250" s="21" t="e">
        <f t="shared" ca="1" si="74"/>
        <v>#VALUE!</v>
      </c>
      <c r="W250" s="60" t="e">
        <f t="shared" ca="1" si="75"/>
        <v>#VALUE!</v>
      </c>
      <c r="X250" s="61" t="e">
        <f t="shared" ca="1" si="76"/>
        <v>#VALUE!</v>
      </c>
    </row>
    <row r="251" spans="2:24" x14ac:dyDescent="0.25">
      <c r="B251" s="58" t="str">
        <f t="shared" si="69"/>
        <v/>
      </c>
      <c r="C251" s="55" t="str">
        <f t="shared" si="81"/>
        <v/>
      </c>
      <c r="D251" s="55" t="str">
        <f t="shared" ca="1" si="67"/>
        <v xml:space="preserve"> </v>
      </c>
      <c r="E251" s="58" t="str">
        <f t="shared" si="68"/>
        <v/>
      </c>
      <c r="F251" s="56" t="str">
        <f t="shared" si="80"/>
        <v/>
      </c>
      <c r="G251" s="56" t="str">
        <f>IF(AND(B250="",B252=""),"",IF(B251="",ROUND(SUM($G$25:G250),2),IF(B251=$E$8,$F$24-ROUND(SUM($G$25:G250),2),ROUND($F$24/$E$8,2))))</f>
        <v/>
      </c>
      <c r="H251" s="56" t="str">
        <f>IF(B250=$E$8,ROUND(SUM($H$25:H250),2),IF(B251&gt;$E$8,"",IF(U251&lt;&gt;U250,ROUND(SUM(W251*$E$9*F250/U251,X251*$E$9*F250/U250),2),ROUND(F250*$E$9*E251/U250,2))))</f>
        <v/>
      </c>
      <c r="I251" s="56" t="str">
        <f>IF(B250=$E$8,SUM($I$25:I250),IF(B250&gt;$E$8,"",G251+H251))</f>
        <v/>
      </c>
      <c r="J251" s="56" t="str">
        <f t="shared" si="82"/>
        <v/>
      </c>
      <c r="K251" s="56" t="str">
        <f t="shared" si="85"/>
        <v/>
      </c>
      <c r="L251" s="56"/>
      <c r="M251" s="56" t="str">
        <f t="shared" si="84"/>
        <v/>
      </c>
      <c r="N251" s="56" t="str">
        <f t="shared" si="79"/>
        <v/>
      </c>
      <c r="O251" s="56" t="str">
        <f t="shared" si="78"/>
        <v/>
      </c>
      <c r="Q251" s="59" t="str">
        <f>IF(B250=$E$8,XIRR(I$24:I250,D$24:D250),"")</f>
        <v/>
      </c>
      <c r="R251" s="56" t="str">
        <f t="shared" si="77"/>
        <v/>
      </c>
      <c r="S251" s="56">
        <f t="shared" si="71"/>
        <v>0</v>
      </c>
      <c r="T251" s="21" t="e">
        <f t="shared" ca="1" si="72"/>
        <v>#VALUE!</v>
      </c>
      <c r="U251" s="21" t="e">
        <f t="shared" ca="1" si="73"/>
        <v>#VALUE!</v>
      </c>
      <c r="V251" s="21" t="e">
        <f t="shared" ca="1" si="74"/>
        <v>#VALUE!</v>
      </c>
      <c r="W251" s="60" t="e">
        <f t="shared" ca="1" si="75"/>
        <v>#VALUE!</v>
      </c>
      <c r="X251" s="61" t="e">
        <f t="shared" ca="1" si="76"/>
        <v>#VALUE!</v>
      </c>
    </row>
    <row r="252" spans="2:24" x14ac:dyDescent="0.25">
      <c r="B252" s="58" t="str">
        <f t="shared" si="69"/>
        <v/>
      </c>
      <c r="C252" s="55" t="str">
        <f t="shared" si="81"/>
        <v/>
      </c>
      <c r="D252" s="55" t="str">
        <f t="shared" ca="1" si="67"/>
        <v xml:space="preserve"> </v>
      </c>
      <c r="E252" s="58" t="str">
        <f t="shared" si="68"/>
        <v/>
      </c>
      <c r="F252" s="56" t="str">
        <f t="shared" si="80"/>
        <v/>
      </c>
      <c r="G252" s="56" t="str">
        <f>IF(AND(B251="",B253=""),"",IF(B252="",ROUND(SUM($G$25:G251),2),IF(B252=$E$8,$F$24-ROUND(SUM($G$25:G251),2),ROUND($F$24/$E$8,2))))</f>
        <v/>
      </c>
      <c r="H252" s="56" t="str">
        <f>IF(B251=$E$8,ROUND(SUM($H$25:H251),2),IF(B252&gt;$E$8,"",IF(U252&lt;&gt;U251,ROUND(SUM(W252*$E$9*F251/U252,X252*$E$9*F251/U251),2),ROUND(F251*$E$9*E252/U251,2))))</f>
        <v/>
      </c>
      <c r="I252" s="56" t="str">
        <f>IF(B251=$E$8,SUM($I$25:I251),IF(B251&gt;$E$8,"",G252+H252))</f>
        <v/>
      </c>
      <c r="J252" s="56" t="str">
        <f t="shared" si="82"/>
        <v/>
      </c>
      <c r="K252" s="56" t="str">
        <f t="shared" si="85"/>
        <v/>
      </c>
      <c r="L252" s="56"/>
      <c r="M252" s="56" t="str">
        <f t="shared" si="84"/>
        <v/>
      </c>
      <c r="N252" s="56" t="str">
        <f t="shared" si="79"/>
        <v/>
      </c>
      <c r="O252" s="56" t="str">
        <f t="shared" si="78"/>
        <v/>
      </c>
      <c r="Q252" s="59" t="str">
        <f>IF(B251=$E$8,XIRR(I$24:I251,D$24:D251),"")</f>
        <v/>
      </c>
      <c r="R252" s="56" t="str">
        <f t="shared" si="77"/>
        <v/>
      </c>
      <c r="S252" s="56">
        <f t="shared" si="71"/>
        <v>0</v>
      </c>
      <c r="T252" s="21" t="e">
        <f t="shared" ca="1" si="72"/>
        <v>#VALUE!</v>
      </c>
      <c r="U252" s="21" t="e">
        <f t="shared" ca="1" si="73"/>
        <v>#VALUE!</v>
      </c>
      <c r="V252" s="21" t="e">
        <f t="shared" ca="1" si="74"/>
        <v>#VALUE!</v>
      </c>
      <c r="W252" s="60" t="e">
        <f t="shared" ca="1" si="75"/>
        <v>#VALUE!</v>
      </c>
      <c r="X252" s="61" t="e">
        <f t="shared" ca="1" si="76"/>
        <v>#VALUE!</v>
      </c>
    </row>
    <row r="253" spans="2:24" x14ac:dyDescent="0.25">
      <c r="B253" s="58" t="str">
        <f t="shared" si="69"/>
        <v/>
      </c>
      <c r="C253" s="55" t="str">
        <f t="shared" si="81"/>
        <v/>
      </c>
      <c r="D253" s="55" t="str">
        <f t="shared" ca="1" si="67"/>
        <v xml:space="preserve"> </v>
      </c>
      <c r="E253" s="58" t="str">
        <f t="shared" si="68"/>
        <v/>
      </c>
      <c r="F253" s="56" t="str">
        <f t="shared" si="80"/>
        <v/>
      </c>
      <c r="G253" s="56" t="str">
        <f>IF(AND(B252="",B254=""),"",IF(B253="",ROUND(SUM($G$25:G252),2),IF(B253=$E$8,$F$24-ROUND(SUM($G$25:G252),2),ROUND($F$24/$E$8,2))))</f>
        <v/>
      </c>
      <c r="H253" s="56" t="str">
        <f>IF(B252=$E$8,ROUND(SUM($H$25:H252),2),IF(B253&gt;$E$8,"",IF(U253&lt;&gt;U252,ROUND(SUM(W253*$E$9*F252/U253,X253*$E$9*F252/U252),2),ROUND(F252*$E$9*E253/U252,2))))</f>
        <v/>
      </c>
      <c r="I253" s="56" t="str">
        <f>IF(B252=$E$8,SUM($I$25:I252),IF(B252&gt;$E$8,"",G253+H253))</f>
        <v/>
      </c>
      <c r="J253" s="56" t="str">
        <f t="shared" si="82"/>
        <v/>
      </c>
      <c r="K253" s="56" t="str">
        <f>IF($E$8&gt;B252,$O$9,IF($E$8=B252,SUM($K$24:K252)," "))</f>
        <v xml:space="preserve"> </v>
      </c>
      <c r="L253" s="56" t="str">
        <f>IF($E$8&gt;B252,($P$8+$O$10*F252),IF(B252=$E$8,$L$37+$L$24+$L$49+$L$61+$L$73+$L$85+$L$97+$L$109+$L$121+$L$133+$L$145+$L$157+$L$169+$L$181+$L$193+$L$205+$L$217+$L$229+$L$241,""))</f>
        <v/>
      </c>
      <c r="M253" s="56" t="str">
        <f t="shared" si="84"/>
        <v/>
      </c>
      <c r="N253" s="56" t="str">
        <f t="shared" si="79"/>
        <v/>
      </c>
      <c r="O253" s="56" t="str">
        <f t="shared" si="78"/>
        <v/>
      </c>
      <c r="Q253" s="59" t="str">
        <f>IF(B252=$E$8,XIRR(I$24:I252,D$24:D252),"")</f>
        <v/>
      </c>
      <c r="R253" s="56" t="str">
        <f t="shared" si="77"/>
        <v/>
      </c>
      <c r="S253" s="56">
        <f t="shared" si="71"/>
        <v>0</v>
      </c>
      <c r="T253" s="21" t="e">
        <f t="shared" ca="1" si="72"/>
        <v>#VALUE!</v>
      </c>
      <c r="U253" s="21" t="e">
        <f t="shared" ca="1" si="73"/>
        <v>#VALUE!</v>
      </c>
      <c r="V253" s="21" t="e">
        <f t="shared" ca="1" si="74"/>
        <v>#VALUE!</v>
      </c>
      <c r="W253" s="60" t="e">
        <f t="shared" ca="1" si="75"/>
        <v>#VALUE!</v>
      </c>
      <c r="X253" s="61" t="e">
        <f t="shared" ca="1" si="76"/>
        <v>#VALUE!</v>
      </c>
    </row>
    <row r="254" spans="2:24" x14ac:dyDescent="0.25">
      <c r="B254" s="58" t="str">
        <f t="shared" si="69"/>
        <v/>
      </c>
      <c r="C254" s="55" t="str">
        <f t="shared" si="81"/>
        <v/>
      </c>
      <c r="D254" s="55" t="str">
        <f t="shared" ca="1" si="67"/>
        <v xml:space="preserve"> </v>
      </c>
      <c r="E254" s="58" t="str">
        <f t="shared" si="68"/>
        <v/>
      </c>
      <c r="F254" s="56" t="str">
        <f t="shared" si="80"/>
        <v/>
      </c>
      <c r="G254" s="56" t="str">
        <f>IF(AND(B253="",B255=""),"",IF(B254="",ROUND(SUM($G$25:G253),2),IF(B254=$E$8,$F$24-ROUND(SUM($G$25:G253),2),ROUND($F$24/$E$8,2))))</f>
        <v/>
      </c>
      <c r="H254" s="56" t="str">
        <f>IF(B253=$E$8,ROUND(SUM($H$25:H253),2),IF(B254&gt;$E$8,"",IF(U254&lt;&gt;U253,ROUND(SUM(W254*$E$9*F253/U254,X254*$E$9*F253/U253),2),ROUND(F253*$E$9*E254/U253,2))))</f>
        <v/>
      </c>
      <c r="I254" s="56" t="str">
        <f>IF(B253=$E$8,SUM($I$25:I253),IF(B253&gt;$E$8,"",G254+H254))</f>
        <v/>
      </c>
      <c r="J254" s="56" t="str">
        <f t="shared" si="82"/>
        <v/>
      </c>
      <c r="K254" s="56" t="str">
        <f t="shared" ref="K254:K264" si="86">IF(B253=$E$8,$K$24,"")</f>
        <v/>
      </c>
      <c r="L254" s="56" t="str">
        <f t="shared" ref="L254:L264" si="87">IF(B253=$E$8,$L$24,"")</f>
        <v/>
      </c>
      <c r="M254" s="56" t="str">
        <f t="shared" si="84"/>
        <v/>
      </c>
      <c r="N254" s="56" t="str">
        <f t="shared" si="79"/>
        <v/>
      </c>
      <c r="O254" s="56" t="str">
        <f t="shared" si="78"/>
        <v/>
      </c>
      <c r="Q254" s="59" t="str">
        <f>IF(B253=$E$8,XIRR(I$24:I253,D$24:D253),"")</f>
        <v/>
      </c>
      <c r="R254" s="56" t="str">
        <f t="shared" si="77"/>
        <v/>
      </c>
      <c r="S254" s="56">
        <f t="shared" si="71"/>
        <v>0</v>
      </c>
      <c r="T254" s="21" t="e">
        <f t="shared" ca="1" si="72"/>
        <v>#VALUE!</v>
      </c>
      <c r="U254" s="21" t="e">
        <f t="shared" ca="1" si="73"/>
        <v>#VALUE!</v>
      </c>
      <c r="V254" s="21" t="e">
        <f t="shared" ca="1" si="74"/>
        <v>#VALUE!</v>
      </c>
      <c r="W254" s="60" t="e">
        <f t="shared" ca="1" si="75"/>
        <v>#VALUE!</v>
      </c>
      <c r="X254" s="61" t="e">
        <f t="shared" ca="1" si="76"/>
        <v>#VALUE!</v>
      </c>
    </row>
    <row r="255" spans="2:24" x14ac:dyDescent="0.25">
      <c r="B255" s="58" t="str">
        <f t="shared" si="69"/>
        <v/>
      </c>
      <c r="C255" s="55" t="str">
        <f t="shared" si="81"/>
        <v/>
      </c>
      <c r="D255" s="55" t="str">
        <f t="shared" ca="1" si="67"/>
        <v xml:space="preserve"> </v>
      </c>
      <c r="E255" s="58" t="str">
        <f t="shared" si="68"/>
        <v/>
      </c>
      <c r="F255" s="56" t="str">
        <f t="shared" si="80"/>
        <v/>
      </c>
      <c r="G255" s="56" t="str">
        <f>IF(AND(B254="",B256=""),"",IF(B255="",ROUND(SUM($G$25:G254),2),IF(B255=$E$8,$F$24-ROUND(SUM($G$25:G254),2),ROUND($F$24/$E$8,2))))</f>
        <v/>
      </c>
      <c r="H255" s="56" t="str">
        <f>IF(B254=$E$8,ROUND(SUM($H$25:H254),2),IF(B255&gt;$E$8,"",IF(U255&lt;&gt;U254,ROUND(SUM(W255*$E$9*F254/U255,X255*$E$9*F254/U254),2),ROUND(F254*$E$9*E255/U254,2))))</f>
        <v/>
      </c>
      <c r="I255" s="56" t="str">
        <f>IF(B254=$E$8,SUM($I$25:I254),IF(B254&gt;$E$8,"",G255+H255))</f>
        <v/>
      </c>
      <c r="J255" s="56" t="str">
        <f t="shared" si="82"/>
        <v/>
      </c>
      <c r="K255" s="56" t="str">
        <f t="shared" si="86"/>
        <v/>
      </c>
      <c r="L255" s="56" t="str">
        <f t="shared" si="87"/>
        <v/>
      </c>
      <c r="M255" s="56" t="str">
        <f t="shared" si="84"/>
        <v/>
      </c>
      <c r="N255" s="56" t="str">
        <f t="shared" si="79"/>
        <v/>
      </c>
      <c r="O255" s="56" t="str">
        <f t="shared" si="78"/>
        <v/>
      </c>
      <c r="Q255" s="59" t="str">
        <f>IF(B254=$E$8,XIRR(I$24:I254,D$24:D254),"")</f>
        <v/>
      </c>
      <c r="R255" s="56" t="str">
        <f t="shared" si="77"/>
        <v/>
      </c>
      <c r="S255" s="56">
        <f t="shared" si="71"/>
        <v>0</v>
      </c>
      <c r="T255" s="21" t="e">
        <f t="shared" ca="1" si="72"/>
        <v>#VALUE!</v>
      </c>
      <c r="U255" s="21" t="e">
        <f t="shared" ca="1" si="73"/>
        <v>#VALUE!</v>
      </c>
      <c r="V255" s="21" t="e">
        <f t="shared" ca="1" si="74"/>
        <v>#VALUE!</v>
      </c>
      <c r="W255" s="60" t="e">
        <f t="shared" ca="1" si="75"/>
        <v>#VALUE!</v>
      </c>
      <c r="X255" s="61" t="e">
        <f t="shared" ca="1" si="76"/>
        <v>#VALUE!</v>
      </c>
    </row>
    <row r="256" spans="2:24" x14ac:dyDescent="0.25">
      <c r="B256" s="58" t="str">
        <f t="shared" si="69"/>
        <v/>
      </c>
      <c r="C256" s="55" t="str">
        <f t="shared" si="81"/>
        <v/>
      </c>
      <c r="D256" s="55" t="str">
        <f t="shared" ca="1" si="67"/>
        <v xml:space="preserve"> </v>
      </c>
      <c r="E256" s="58" t="str">
        <f t="shared" si="68"/>
        <v/>
      </c>
      <c r="F256" s="56" t="str">
        <f t="shared" si="80"/>
        <v/>
      </c>
      <c r="G256" s="56" t="str">
        <f>IF(AND(B255="",B257=""),"",IF(B256="",ROUND(SUM($G$25:G255),2),IF(B256=$E$8,$F$24-ROUND(SUM($G$25:G255),2),ROUND($F$24/$E$8,2))))</f>
        <v/>
      </c>
      <c r="H256" s="56" t="str">
        <f>IF(B255=$E$8,ROUND(SUM($H$25:H255),2),IF(B256&gt;$E$8,"",IF(U256&lt;&gt;U255,ROUND(SUM(W256*$E$9*F255/U256,X256*$E$9*F255/U255),2),ROUND(F255*$E$9*E256/U255,2))))</f>
        <v/>
      </c>
      <c r="I256" s="56" t="str">
        <f>IF(B255=$E$8,SUM($I$25:I255),IF(B255&gt;$E$8,"",G256+H256))</f>
        <v/>
      </c>
      <c r="J256" s="56" t="str">
        <f t="shared" si="82"/>
        <v/>
      </c>
      <c r="K256" s="56" t="str">
        <f t="shared" si="86"/>
        <v/>
      </c>
      <c r="L256" s="56" t="str">
        <f t="shared" si="87"/>
        <v/>
      </c>
      <c r="M256" s="56" t="str">
        <f t="shared" si="84"/>
        <v/>
      </c>
      <c r="N256" s="56" t="str">
        <f t="shared" si="79"/>
        <v/>
      </c>
      <c r="O256" s="56" t="str">
        <f t="shared" si="78"/>
        <v/>
      </c>
      <c r="Q256" s="59" t="str">
        <f>IF(B255=$E$8,XIRR(I$24:I255,D$24:D255),"")</f>
        <v/>
      </c>
      <c r="R256" s="56" t="str">
        <f t="shared" si="77"/>
        <v/>
      </c>
      <c r="S256" s="56">
        <f t="shared" si="71"/>
        <v>0</v>
      </c>
      <c r="T256" s="21" t="e">
        <f t="shared" ca="1" si="72"/>
        <v>#VALUE!</v>
      </c>
      <c r="U256" s="21" t="e">
        <f t="shared" ca="1" si="73"/>
        <v>#VALUE!</v>
      </c>
      <c r="V256" s="21" t="e">
        <f t="shared" ca="1" si="74"/>
        <v>#VALUE!</v>
      </c>
      <c r="W256" s="60" t="e">
        <f t="shared" ca="1" si="75"/>
        <v>#VALUE!</v>
      </c>
      <c r="X256" s="61" t="e">
        <f t="shared" ca="1" si="76"/>
        <v>#VALUE!</v>
      </c>
    </row>
    <row r="257" spans="2:24" x14ac:dyDescent="0.25">
      <c r="B257" s="58" t="str">
        <f t="shared" si="69"/>
        <v/>
      </c>
      <c r="C257" s="55" t="str">
        <f t="shared" si="81"/>
        <v/>
      </c>
      <c r="D257" s="55" t="str">
        <f t="shared" ca="1" si="67"/>
        <v xml:space="preserve"> </v>
      </c>
      <c r="E257" s="58" t="str">
        <f t="shared" si="68"/>
        <v/>
      </c>
      <c r="F257" s="56" t="str">
        <f t="shared" si="80"/>
        <v/>
      </c>
      <c r="G257" s="56" t="str">
        <f>IF(AND(B256="",B258=""),"",IF(B257="",ROUND(SUM($G$25:G256),2),IF(B257=$E$8,$F$24-ROUND(SUM($G$25:G256),2),ROUND($F$24/$E$8,2))))</f>
        <v/>
      </c>
      <c r="H257" s="56" t="str">
        <f>IF(B256=$E$8,ROUND(SUM($H$25:H256),2),IF(B257&gt;$E$8,"",IF(U257&lt;&gt;U256,ROUND(SUM(W257*$E$9*F256/U257,X257*$E$9*F256/U256),2),ROUND(F256*$E$9*E257/U256,2))))</f>
        <v/>
      </c>
      <c r="I257" s="56" t="str">
        <f>IF(B256=$E$8,SUM($I$25:I256),IF(B256&gt;$E$8,"",G257+H257))</f>
        <v/>
      </c>
      <c r="J257" s="56" t="str">
        <f t="shared" si="82"/>
        <v/>
      </c>
      <c r="K257" s="56" t="str">
        <f t="shared" si="86"/>
        <v/>
      </c>
      <c r="L257" s="56" t="str">
        <f t="shared" si="87"/>
        <v/>
      </c>
      <c r="M257" s="56" t="str">
        <f t="shared" si="84"/>
        <v/>
      </c>
      <c r="N257" s="56" t="str">
        <f t="shared" si="79"/>
        <v/>
      </c>
      <c r="O257" s="56" t="str">
        <f t="shared" si="78"/>
        <v/>
      </c>
      <c r="Q257" s="59" t="str">
        <f>IF(B256=$E$8,XIRR(I$24:I256,D$24:D256),"")</f>
        <v/>
      </c>
      <c r="R257" s="56" t="str">
        <f t="shared" si="77"/>
        <v/>
      </c>
      <c r="S257" s="56">
        <f t="shared" si="71"/>
        <v>0</v>
      </c>
      <c r="T257" s="21" t="e">
        <f t="shared" ca="1" si="72"/>
        <v>#VALUE!</v>
      </c>
      <c r="U257" s="21" t="e">
        <f t="shared" ca="1" si="73"/>
        <v>#VALUE!</v>
      </c>
      <c r="V257" s="21" t="e">
        <f t="shared" ca="1" si="74"/>
        <v>#VALUE!</v>
      </c>
      <c r="W257" s="60" t="e">
        <f t="shared" ca="1" si="75"/>
        <v>#VALUE!</v>
      </c>
      <c r="X257" s="61" t="e">
        <f t="shared" ca="1" si="76"/>
        <v>#VALUE!</v>
      </c>
    </row>
    <row r="258" spans="2:24" x14ac:dyDescent="0.25">
      <c r="B258" s="58" t="str">
        <f t="shared" si="69"/>
        <v/>
      </c>
      <c r="C258" s="55" t="str">
        <f t="shared" si="81"/>
        <v/>
      </c>
      <c r="D258" s="55" t="str">
        <f t="shared" ca="1" si="67"/>
        <v xml:space="preserve"> </v>
      </c>
      <c r="E258" s="58" t="str">
        <f t="shared" si="68"/>
        <v/>
      </c>
      <c r="F258" s="56" t="str">
        <f t="shared" si="80"/>
        <v/>
      </c>
      <c r="G258" s="56" t="str">
        <f>IF(AND(B257="",B259=""),"",IF(B258="",ROUND(SUM($G$25:G257),2),IF(B258=$E$8,$F$24-ROUND(SUM($G$25:G257),2),ROUND($F$24/$E$8,2))))</f>
        <v/>
      </c>
      <c r="H258" s="56" t="str">
        <f>IF(B257=$E$8,ROUND(SUM($H$25:H257),2),IF(B258&gt;$E$8,"",IF(U258&lt;&gt;U257,ROUND(SUM(W258*$E$9*F257/U258,X258*$E$9*F257/U257),2),ROUND(F257*$E$9*E258/U257,2))))</f>
        <v/>
      </c>
      <c r="I258" s="56" t="str">
        <f>IF(B257=$E$8,SUM($I$25:I257),IF(B257&gt;$E$8,"",G258+H258))</f>
        <v/>
      </c>
      <c r="J258" s="56" t="str">
        <f t="shared" si="82"/>
        <v/>
      </c>
      <c r="K258" s="56" t="str">
        <f t="shared" si="86"/>
        <v/>
      </c>
      <c r="L258" s="56" t="str">
        <f t="shared" si="87"/>
        <v/>
      </c>
      <c r="M258" s="56" t="str">
        <f t="shared" si="84"/>
        <v/>
      </c>
      <c r="N258" s="56" t="str">
        <f t="shared" si="79"/>
        <v/>
      </c>
      <c r="O258" s="56" t="str">
        <f t="shared" si="78"/>
        <v/>
      </c>
      <c r="Q258" s="59" t="str">
        <f>IF(B257=$E$8,XIRR(I$24:I257,D$24:D257),"")</f>
        <v/>
      </c>
      <c r="R258" s="56" t="str">
        <f t="shared" si="77"/>
        <v/>
      </c>
      <c r="S258" s="56">
        <f t="shared" si="71"/>
        <v>0</v>
      </c>
      <c r="T258" s="21" t="e">
        <f t="shared" ca="1" si="72"/>
        <v>#VALUE!</v>
      </c>
      <c r="U258" s="21" t="e">
        <f t="shared" ca="1" si="73"/>
        <v>#VALUE!</v>
      </c>
      <c r="V258" s="21" t="e">
        <f t="shared" ca="1" si="74"/>
        <v>#VALUE!</v>
      </c>
      <c r="W258" s="60" t="e">
        <f t="shared" ca="1" si="75"/>
        <v>#VALUE!</v>
      </c>
      <c r="X258" s="61" t="e">
        <f t="shared" ca="1" si="76"/>
        <v>#VALUE!</v>
      </c>
    </row>
    <row r="259" spans="2:24" x14ac:dyDescent="0.25">
      <c r="B259" s="58" t="str">
        <f t="shared" si="69"/>
        <v/>
      </c>
      <c r="C259" s="55" t="str">
        <f t="shared" si="81"/>
        <v/>
      </c>
      <c r="D259" s="55" t="str">
        <f t="shared" ca="1" si="67"/>
        <v xml:space="preserve"> </v>
      </c>
      <c r="E259" s="58" t="str">
        <f t="shared" si="68"/>
        <v/>
      </c>
      <c r="F259" s="56" t="str">
        <f t="shared" si="80"/>
        <v/>
      </c>
      <c r="G259" s="56" t="str">
        <f>IF(AND(B258="",B260=""),"",IF(B259="",ROUND(SUM($G$25:G258),2),IF(B259=$E$8,$F$24-ROUND(SUM($G$25:G258),2),ROUND($F$24/$E$8,2))))</f>
        <v/>
      </c>
      <c r="H259" s="56" t="str">
        <f>IF(B258=$E$8,ROUND(SUM($H$25:H258),2),IF(B259&gt;$E$8,"",IF(U259&lt;&gt;U258,ROUND(SUM(W259*$E$9*F258/U259,X259*$E$9*F258/U258),2),ROUND(F258*$E$9*E259/U258,2))))</f>
        <v/>
      </c>
      <c r="I259" s="56" t="str">
        <f>IF(B258=$E$8,SUM($I$25:I258),IF(B258&gt;$E$8,"",G259+H259))</f>
        <v/>
      </c>
      <c r="J259" s="56" t="str">
        <f t="shared" si="82"/>
        <v/>
      </c>
      <c r="K259" s="56" t="str">
        <f t="shared" si="86"/>
        <v/>
      </c>
      <c r="L259" s="56" t="str">
        <f t="shared" si="87"/>
        <v/>
      </c>
      <c r="M259" s="56" t="str">
        <f t="shared" si="84"/>
        <v/>
      </c>
      <c r="N259" s="56" t="str">
        <f t="shared" si="79"/>
        <v/>
      </c>
      <c r="O259" s="56" t="str">
        <f t="shared" si="78"/>
        <v/>
      </c>
      <c r="Q259" s="59" t="str">
        <f>IF(B258=$E$8,XIRR(I$24:I258,D$24:D258),"")</f>
        <v/>
      </c>
      <c r="R259" s="56" t="str">
        <f t="shared" si="77"/>
        <v/>
      </c>
      <c r="S259" s="56">
        <f t="shared" si="71"/>
        <v>0</v>
      </c>
      <c r="T259" s="21" t="e">
        <f t="shared" ca="1" si="72"/>
        <v>#VALUE!</v>
      </c>
      <c r="U259" s="21" t="e">
        <f t="shared" ca="1" si="73"/>
        <v>#VALUE!</v>
      </c>
      <c r="V259" s="21" t="e">
        <f t="shared" ca="1" si="74"/>
        <v>#VALUE!</v>
      </c>
      <c r="W259" s="60" t="e">
        <f t="shared" ca="1" si="75"/>
        <v>#VALUE!</v>
      </c>
      <c r="X259" s="61" t="e">
        <f t="shared" ca="1" si="76"/>
        <v>#VALUE!</v>
      </c>
    </row>
    <row r="260" spans="2:24" x14ac:dyDescent="0.25">
      <c r="B260" s="58" t="str">
        <f t="shared" si="69"/>
        <v/>
      </c>
      <c r="C260" s="55" t="str">
        <f t="shared" si="81"/>
        <v/>
      </c>
      <c r="D260" s="55" t="str">
        <f t="shared" ca="1" si="67"/>
        <v xml:space="preserve"> </v>
      </c>
      <c r="E260" s="58" t="str">
        <f t="shared" si="68"/>
        <v/>
      </c>
      <c r="F260" s="56" t="str">
        <f t="shared" si="80"/>
        <v/>
      </c>
      <c r="G260" s="56" t="str">
        <f>IF(AND(B259="",B261=""),"",IF(B260="",ROUND(SUM($G$25:G259),2),IF(B260=$E$8,$F$24-ROUND(SUM($G$25:G259),2),ROUND($F$24/$E$8,2))))</f>
        <v/>
      </c>
      <c r="H260" s="56" t="str">
        <f>IF(B259=$E$8,ROUND(SUM($H$25:H259),2),IF(B260&gt;$E$8,"",IF(U260&lt;&gt;U259,ROUND(SUM(W260*$E$9*F259/U260,X260*$E$9*F259/U259),2),ROUND(F259*$E$9*E260/U259,2))))</f>
        <v/>
      </c>
      <c r="I260" s="56" t="str">
        <f>IF(B259=$E$8,SUM($I$25:I259),IF(B259&gt;$E$8,"",G260+H260))</f>
        <v/>
      </c>
      <c r="J260" s="56" t="str">
        <f t="shared" si="82"/>
        <v/>
      </c>
      <c r="K260" s="56" t="str">
        <f t="shared" si="86"/>
        <v/>
      </c>
      <c r="L260" s="56" t="str">
        <f t="shared" si="87"/>
        <v/>
      </c>
      <c r="M260" s="56" t="str">
        <f t="shared" si="84"/>
        <v/>
      </c>
      <c r="N260" s="56" t="str">
        <f t="shared" si="79"/>
        <v/>
      </c>
      <c r="O260" s="56" t="str">
        <f t="shared" si="78"/>
        <v/>
      </c>
      <c r="Q260" s="59" t="str">
        <f>IF(B259=$E$8,XIRR(I$24:I259,D$24:D259),"")</f>
        <v/>
      </c>
      <c r="R260" s="56" t="str">
        <f t="shared" si="77"/>
        <v/>
      </c>
      <c r="S260" s="56">
        <f t="shared" si="71"/>
        <v>0</v>
      </c>
      <c r="T260" s="21" t="e">
        <f t="shared" ca="1" si="72"/>
        <v>#VALUE!</v>
      </c>
      <c r="U260" s="21" t="e">
        <f t="shared" ca="1" si="73"/>
        <v>#VALUE!</v>
      </c>
      <c r="V260" s="21" t="e">
        <f t="shared" ca="1" si="74"/>
        <v>#VALUE!</v>
      </c>
      <c r="W260" s="60" t="e">
        <f t="shared" ca="1" si="75"/>
        <v>#VALUE!</v>
      </c>
      <c r="X260" s="61" t="e">
        <f t="shared" ca="1" si="76"/>
        <v>#VALUE!</v>
      </c>
    </row>
    <row r="261" spans="2:24" x14ac:dyDescent="0.25">
      <c r="B261" s="58" t="str">
        <f t="shared" si="69"/>
        <v/>
      </c>
      <c r="C261" s="55" t="str">
        <f t="shared" si="81"/>
        <v/>
      </c>
      <c r="D261" s="55" t="str">
        <f t="shared" ca="1" si="67"/>
        <v xml:space="preserve"> </v>
      </c>
      <c r="E261" s="58" t="str">
        <f t="shared" si="68"/>
        <v/>
      </c>
      <c r="F261" s="56" t="str">
        <f t="shared" si="80"/>
        <v/>
      </c>
      <c r="G261" s="56" t="str">
        <f>IF(AND(B260="",B262=""),"",IF(B261="",ROUND(SUM($G$25:G260),2),IF(B261=$E$8,$F$24-ROUND(SUM($G$25:G260),2),ROUND($F$24/$E$8,2))))</f>
        <v/>
      </c>
      <c r="H261" s="56" t="str">
        <f>IF(B260=$E$8,ROUND(SUM($H$25:H260),2),IF(B261&gt;$E$8,"",IF(U261&lt;&gt;U260,ROUND(SUM(W261*$E$9*F260/U261,X261*$E$9*F260/U260),2),ROUND(F260*$E$9*E261/U260,2))))</f>
        <v/>
      </c>
      <c r="I261" s="56" t="str">
        <f>IF(B260=$E$8,SUM($I$25:I260),IF(B260&gt;$E$8,"",G261+H261))</f>
        <v/>
      </c>
      <c r="J261" s="56" t="str">
        <f t="shared" si="82"/>
        <v/>
      </c>
      <c r="K261" s="56" t="str">
        <f t="shared" si="86"/>
        <v/>
      </c>
      <c r="L261" s="56" t="str">
        <f t="shared" si="87"/>
        <v/>
      </c>
      <c r="M261" s="56" t="str">
        <f t="shared" si="84"/>
        <v/>
      </c>
      <c r="N261" s="56" t="str">
        <f t="shared" si="79"/>
        <v/>
      </c>
      <c r="O261" s="56" t="str">
        <f t="shared" si="78"/>
        <v/>
      </c>
      <c r="Q261" s="59" t="str">
        <f>IF(B260=$E$8,XIRR(I$24:I260,D$24:D260),"")</f>
        <v/>
      </c>
      <c r="R261" s="56" t="str">
        <f t="shared" si="77"/>
        <v/>
      </c>
      <c r="S261" s="56">
        <f t="shared" si="71"/>
        <v>0</v>
      </c>
      <c r="T261" s="21" t="e">
        <f t="shared" ca="1" si="72"/>
        <v>#VALUE!</v>
      </c>
      <c r="U261" s="21" t="e">
        <f t="shared" ca="1" si="73"/>
        <v>#VALUE!</v>
      </c>
      <c r="V261" s="21" t="e">
        <f t="shared" ca="1" si="74"/>
        <v>#VALUE!</v>
      </c>
      <c r="W261" s="60" t="e">
        <f t="shared" ca="1" si="75"/>
        <v>#VALUE!</v>
      </c>
      <c r="X261" s="61" t="e">
        <f t="shared" ca="1" si="76"/>
        <v>#VALUE!</v>
      </c>
    </row>
    <row r="262" spans="2:24" x14ac:dyDescent="0.25">
      <c r="B262" s="58" t="str">
        <f t="shared" si="69"/>
        <v/>
      </c>
      <c r="C262" s="55" t="str">
        <f t="shared" si="81"/>
        <v/>
      </c>
      <c r="D262" s="55" t="str">
        <f t="shared" ca="1" si="67"/>
        <v xml:space="preserve"> </v>
      </c>
      <c r="E262" s="58" t="str">
        <f t="shared" si="68"/>
        <v/>
      </c>
      <c r="F262" s="56" t="str">
        <f t="shared" si="80"/>
        <v/>
      </c>
      <c r="G262" s="56" t="str">
        <f>IF(AND(B261="",B263=""),"",IF(B262="",ROUND(SUM($G$25:G261),2),IF(B262=$E$8,$F$24-ROUND(SUM($G$25:G261),2),ROUND($F$24/$E$8,2))))</f>
        <v/>
      </c>
      <c r="H262" s="56" t="str">
        <f>IF(B261=$E$8,ROUND(SUM($H$25:H261),2),IF(B262&gt;$E$8,"",IF(U262&lt;&gt;U261,ROUND(SUM(W262*$E$9*F261/U262,X262*$E$9*F261/U261),2),ROUND(F261*$E$9*E262/U261,2))))</f>
        <v/>
      </c>
      <c r="I262" s="56" t="str">
        <f>IF(B261=$E$8,SUM($I$25:I261),IF(B261&gt;$E$8,"",G262+H262))</f>
        <v/>
      </c>
      <c r="J262" s="56" t="str">
        <f t="shared" si="82"/>
        <v/>
      </c>
      <c r="K262" s="56" t="str">
        <f t="shared" si="86"/>
        <v/>
      </c>
      <c r="L262" s="56" t="str">
        <f t="shared" si="87"/>
        <v/>
      </c>
      <c r="M262" s="56" t="str">
        <f t="shared" si="84"/>
        <v/>
      </c>
      <c r="N262" s="56" t="str">
        <f t="shared" si="79"/>
        <v/>
      </c>
      <c r="O262" s="56" t="str">
        <f t="shared" si="78"/>
        <v/>
      </c>
      <c r="Q262" s="59" t="str">
        <f>IF(B261=$E$8,XIRR(I$24:I261,D$24:D261),"")</f>
        <v/>
      </c>
      <c r="R262" s="56" t="str">
        <f t="shared" si="77"/>
        <v/>
      </c>
      <c r="S262" s="56">
        <f t="shared" si="71"/>
        <v>0</v>
      </c>
      <c r="T262" s="21" t="e">
        <f t="shared" ca="1" si="72"/>
        <v>#VALUE!</v>
      </c>
      <c r="U262" s="21" t="e">
        <f t="shared" ca="1" si="73"/>
        <v>#VALUE!</v>
      </c>
      <c r="V262" s="21" t="e">
        <f t="shared" ca="1" si="74"/>
        <v>#VALUE!</v>
      </c>
      <c r="W262" s="60" t="e">
        <f t="shared" ca="1" si="75"/>
        <v>#VALUE!</v>
      </c>
      <c r="X262" s="61" t="e">
        <f t="shared" ca="1" si="76"/>
        <v>#VALUE!</v>
      </c>
    </row>
    <row r="263" spans="2:24" x14ac:dyDescent="0.25">
      <c r="B263" s="58" t="str">
        <f t="shared" si="69"/>
        <v/>
      </c>
      <c r="C263" s="55" t="str">
        <f t="shared" si="81"/>
        <v/>
      </c>
      <c r="D263" s="55" t="str">
        <f t="shared" ca="1" si="67"/>
        <v xml:space="preserve"> </v>
      </c>
      <c r="E263" s="58" t="str">
        <f t="shared" si="68"/>
        <v/>
      </c>
      <c r="F263" s="56" t="str">
        <f t="shared" si="80"/>
        <v/>
      </c>
      <c r="G263" s="56" t="str">
        <f>IF(AND(B262="",B264=""),"",IF(B263="",ROUND(SUM($G$25:G262),2),IF(B263=$E$8,$F$24-ROUND(SUM($G$25:G262),2),ROUND($F$24/$E$8,2))))</f>
        <v/>
      </c>
      <c r="H263" s="56" t="str">
        <f>IF(B262=$E$8,ROUND(SUM($H$25:H262),2),IF(B263&gt;$E$8,"",IF(U263&lt;&gt;U262,ROUND(SUM(W263*$E$9*F262/U263,X263*$E$9*F262/U262),2),ROUND(F262*$E$9*E263/U262,2))))</f>
        <v/>
      </c>
      <c r="I263" s="56" t="str">
        <f>IF(B262=$E$8,SUM($I$25:I262),IF(B262&gt;$E$8,"",G263+H263))</f>
        <v/>
      </c>
      <c r="J263" s="56" t="str">
        <f t="shared" si="82"/>
        <v/>
      </c>
      <c r="K263" s="56" t="str">
        <f t="shared" si="86"/>
        <v/>
      </c>
      <c r="L263" s="56" t="str">
        <f t="shared" si="87"/>
        <v/>
      </c>
      <c r="M263" s="56" t="str">
        <f t="shared" si="84"/>
        <v/>
      </c>
      <c r="N263" s="56" t="str">
        <f t="shared" si="79"/>
        <v/>
      </c>
      <c r="O263" s="56" t="str">
        <f t="shared" si="78"/>
        <v/>
      </c>
      <c r="Q263" s="59" t="str">
        <f>IF(B262=$E$8,XIRR(I$24:I262,D$24:D262),"")</f>
        <v/>
      </c>
      <c r="R263" s="56" t="str">
        <f t="shared" si="77"/>
        <v/>
      </c>
      <c r="S263" s="56">
        <f t="shared" si="71"/>
        <v>0</v>
      </c>
      <c r="T263" s="21" t="e">
        <f t="shared" ca="1" si="72"/>
        <v>#VALUE!</v>
      </c>
      <c r="U263" s="21" t="e">
        <f t="shared" ca="1" si="73"/>
        <v>#VALUE!</v>
      </c>
      <c r="V263" s="21" t="e">
        <f t="shared" ca="1" si="74"/>
        <v>#VALUE!</v>
      </c>
      <c r="W263" s="60" t="e">
        <f t="shared" ca="1" si="75"/>
        <v>#VALUE!</v>
      </c>
      <c r="X263" s="61" t="e">
        <f t="shared" ca="1" si="76"/>
        <v>#VALUE!</v>
      </c>
    </row>
    <row r="264" spans="2:24" x14ac:dyDescent="0.25">
      <c r="B264" s="58" t="str">
        <f t="shared" si="69"/>
        <v/>
      </c>
      <c r="C264" s="55" t="str">
        <f t="shared" si="81"/>
        <v/>
      </c>
      <c r="D264" s="55" t="str">
        <f t="shared" ca="1" si="67"/>
        <v xml:space="preserve"> </v>
      </c>
      <c r="E264" s="58" t="str">
        <f t="shared" si="68"/>
        <v/>
      </c>
      <c r="F264" s="56" t="str">
        <f t="shared" si="80"/>
        <v/>
      </c>
      <c r="G264" s="56" t="str">
        <f>IF(AND(B263="",B265=""),"",IF(B264="",ROUND(SUM($G$25:G263),2),IF(B264=$E$8,$F$24-ROUND(SUM($G$25:G263),2),ROUND($F$24/$E$8,2))))</f>
        <v/>
      </c>
      <c r="H264" s="56" t="str">
        <f>IF(B263=$E$8,ROUND(SUM($H$25:H263),2),IF(B264&gt;$E$8,"",IF(U264&lt;&gt;U263,ROUND(SUM(W264*$E$9*F263/U264,X264*$E$9*F263/U263),2),ROUND(F263*$E$9*E264/U263,2))))</f>
        <v/>
      </c>
      <c r="I264" s="56" t="str">
        <f>IF(B263=$E$8,SUM($I$25:I263),IF(B263&gt;$E$8,"",G264+H264))</f>
        <v/>
      </c>
      <c r="J264" s="56" t="str">
        <f t="shared" si="82"/>
        <v/>
      </c>
      <c r="K264" s="56" t="str">
        <f t="shared" si="86"/>
        <v/>
      </c>
      <c r="L264" s="56" t="str">
        <f t="shared" si="87"/>
        <v/>
      </c>
      <c r="M264" s="56" t="str">
        <f t="shared" si="84"/>
        <v/>
      </c>
      <c r="N264" s="56" t="str">
        <f t="shared" si="79"/>
        <v/>
      </c>
      <c r="O264" s="56" t="str">
        <f t="shared" si="78"/>
        <v/>
      </c>
      <c r="Q264" s="59" t="str">
        <f>IF(B263=$E$8,XIRR(I$24:I263,D$24:D263),"")</f>
        <v/>
      </c>
      <c r="R264" s="56" t="str">
        <f t="shared" si="77"/>
        <v/>
      </c>
      <c r="S264" s="56">
        <f t="shared" si="71"/>
        <v>0</v>
      </c>
      <c r="T264" s="21" t="e">
        <f t="shared" ca="1" si="72"/>
        <v>#VALUE!</v>
      </c>
      <c r="U264" s="21" t="e">
        <f t="shared" ca="1" si="73"/>
        <v>#VALUE!</v>
      </c>
      <c r="V264" s="21" t="e">
        <f t="shared" ca="1" si="74"/>
        <v>#VALUE!</v>
      </c>
      <c r="W264" s="60" t="e">
        <f t="shared" ca="1" si="75"/>
        <v>#VALUE!</v>
      </c>
      <c r="X264" s="61" t="e">
        <f t="shared" ca="1" si="76"/>
        <v>#VALUE!</v>
      </c>
    </row>
    <row r="265" spans="2:24" x14ac:dyDescent="0.25">
      <c r="B265" s="58" t="str">
        <f t="shared" si="69"/>
        <v/>
      </c>
      <c r="F265" s="56" t="str">
        <f t="shared" si="80"/>
        <v/>
      </c>
      <c r="G265" s="56" t="str">
        <f>IF(AND(B264="",B266=""),"",IF(B265="",ROUND(SUM($G$25:G264),2),IF(B265=$E$8,$F$24-ROUND(SUM($G$25:G264),2),ROUND($F$24/$E$8,2))))</f>
        <v/>
      </c>
      <c r="H265" s="56" t="str">
        <f>IF(B264=$E$8,ROUND(SUM($H$25:H264),2),IF(B265&gt;$E$8,"",IF(U265&lt;&gt;U264,ROUND(SUM(W265*$E$9*F264/U265,X265*$E$9*F264/U264),2),ROUND(F264*$E$9*E265/U264,2))))</f>
        <v/>
      </c>
      <c r="I265" s="56" t="str">
        <f>IF(B264=$E$8,SUM($I$25:I264),IF(B264&gt;$E$8,"",G265+H265))</f>
        <v/>
      </c>
      <c r="J265" s="56" t="str">
        <f t="shared" si="82"/>
        <v/>
      </c>
      <c r="K265" s="56" t="str">
        <f>IF($E$8&gt;B264,$O$9,IF($E$8=B264,SUM($K$24:K264)," "))</f>
        <v xml:space="preserve"> </v>
      </c>
      <c r="L265" s="56" t="str">
        <f>IF($E$8&gt;B264,($P$8+$O$10*F264),IF(B264=$E$8,$L$37+$L$24+$L$49+$L$61+$L$73+$L$85+$L$97+$L$109+$L$121+$L$133+$L$145+$L$157+$L$169+$L$181+$L$193+$L$205+$L$217+$L$229+$L$241+L253,""))</f>
        <v/>
      </c>
      <c r="M265" s="56" t="str">
        <f t="shared" si="84"/>
        <v/>
      </c>
      <c r="N265" s="56" t="str">
        <f t="shared" si="79"/>
        <v/>
      </c>
      <c r="O265" s="56" t="str">
        <f t="shared" si="78"/>
        <v/>
      </c>
      <c r="Q265" s="59" t="str">
        <f>IF(B264=$E$8,XIRR(S$24:S264,D$24:D264),"")</f>
        <v/>
      </c>
      <c r="R265" s="56" t="str">
        <f t="shared" si="77"/>
        <v/>
      </c>
      <c r="S265" s="56"/>
      <c r="T265" s="21" t="str">
        <f t="shared" si="72"/>
        <v/>
      </c>
    </row>
    <row r="266" spans="2:24" x14ac:dyDescent="0.25">
      <c r="B266" s="58" t="str">
        <f t="shared" si="69"/>
        <v/>
      </c>
    </row>
    <row r="267" spans="2:24" x14ac:dyDescent="0.25">
      <c r="B267" s="58"/>
    </row>
    <row r="268" spans="2:24" x14ac:dyDescent="0.25">
      <c r="B268" s="58"/>
    </row>
    <row r="269" spans="2:24" x14ac:dyDescent="0.25">
      <c r="B269" s="58"/>
    </row>
    <row r="270" spans="2:24" x14ac:dyDescent="0.25">
      <c r="B270" s="58"/>
    </row>
    <row r="271" spans="2:24" x14ac:dyDescent="0.25">
      <c r="B271" s="58"/>
    </row>
    <row r="272" spans="2:24" x14ac:dyDescent="0.25">
      <c r="B272" s="58"/>
    </row>
    <row r="273" spans="2:2" x14ac:dyDescent="0.25">
      <c r="B273" s="58"/>
    </row>
    <row r="274" spans="2:2" x14ac:dyDescent="0.25">
      <c r="B274" s="58"/>
    </row>
    <row r="275" spans="2:2" x14ac:dyDescent="0.25">
      <c r="B275" s="58"/>
    </row>
    <row r="276" spans="2:2" x14ac:dyDescent="0.25">
      <c r="B276" s="58"/>
    </row>
  </sheetData>
  <protectedRanges>
    <protectedRange password="C797" sqref="B24:C261 C262:C264 B262:B276 E24:I25 E26:E264 F26:I265" name="Диапазон1"/>
    <protectedRange password="C797" sqref="N22:N23 Q22:R23 B22:I23" name="Диапазон1_1"/>
    <protectedRange password="C797" sqref="N24:P24 N25:O265 P25:P120" name="Диапазон1_2"/>
    <protectedRange password="C797" sqref="S24" name="Диапазон1_1_1"/>
    <protectedRange password="C797" sqref="S25:S265" name="Диапазон1_2_1"/>
    <protectedRange password="C797" sqref="D24:D84" name="Диапазон1_3"/>
    <protectedRange password="C797" sqref="D85:D264" name="Диапазон1_4"/>
  </protectedRanges>
  <mergeCells count="44">
    <mergeCell ref="O11:P11"/>
    <mergeCell ref="B22:B23"/>
    <mergeCell ref="D22:D23"/>
    <mergeCell ref="F22:F23"/>
    <mergeCell ref="G22:G23"/>
    <mergeCell ref="H22:H23"/>
    <mergeCell ref="C11:D11"/>
    <mergeCell ref="S22:S23"/>
    <mergeCell ref="O12:P12"/>
    <mergeCell ref="O13:P13"/>
    <mergeCell ref="O14:P14"/>
    <mergeCell ref="I22:I23"/>
    <mergeCell ref="J22:M22"/>
    <mergeCell ref="N22:N23"/>
    <mergeCell ref="O22:O23"/>
    <mergeCell ref="P22:P23"/>
    <mergeCell ref="Q22:Q23"/>
    <mergeCell ref="R22:R23"/>
    <mergeCell ref="C6:D7"/>
    <mergeCell ref="E6:G7"/>
    <mergeCell ref="I6:I11"/>
    <mergeCell ref="J6:P6"/>
    <mergeCell ref="J7:N7"/>
    <mergeCell ref="O7:P7"/>
    <mergeCell ref="C8:D8"/>
    <mergeCell ref="E8:G8"/>
    <mergeCell ref="J8:N8"/>
    <mergeCell ref="C9:D9"/>
    <mergeCell ref="E9:G9"/>
    <mergeCell ref="O9:P9"/>
    <mergeCell ref="C10:D10"/>
    <mergeCell ref="E10:G10"/>
    <mergeCell ref="J10:N10"/>
    <mergeCell ref="E11:G11"/>
    <mergeCell ref="B1:R1"/>
    <mergeCell ref="C3:D3"/>
    <mergeCell ref="E3:G3"/>
    <mergeCell ref="I3:N3"/>
    <mergeCell ref="O3:P3"/>
    <mergeCell ref="C4:D5"/>
    <mergeCell ref="E4:G5"/>
    <mergeCell ref="I4:N4"/>
    <mergeCell ref="O4:P4"/>
    <mergeCell ref="O5:P5"/>
  </mergeCells>
  <dataValidations count="2">
    <dataValidation type="list" allowBlank="1" showInputMessage="1" showErrorMessage="1" sqref="N12 N9" xr:uid="{26AFC737-3446-4358-AB91-896D7EBFFB3D}">
      <formula1>$AA$7:$AA$8</formula1>
    </dataValidation>
    <dataValidation type="list" allowBlank="1" showInputMessage="1" showErrorMessage="1" sqref="R8:S8" xr:uid="{18D4CC5E-DDEA-45BD-B2E3-0DBE8C9B783A}">
      <formula1>$U$8:$U$9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C276"/>
  <sheetViews>
    <sheetView topLeftCell="A57" zoomScaleNormal="100" workbookViewId="0">
      <selection activeCell="H75" sqref="H75"/>
    </sheetView>
  </sheetViews>
  <sheetFormatPr defaultColWidth="9.140625" defaultRowHeight="15" x14ac:dyDescent="0.25"/>
  <cols>
    <col min="1" max="1" width="10.140625" style="21" customWidth="1"/>
    <col min="2" max="2" width="14.5703125" style="21" customWidth="1"/>
    <col min="3" max="3" width="20.7109375" style="21" customWidth="1"/>
    <col min="4" max="4" width="12.28515625" style="21" customWidth="1"/>
    <col min="5" max="5" width="14.7109375" style="21" customWidth="1"/>
    <col min="6" max="6" width="14.28515625" style="21" customWidth="1"/>
    <col min="7" max="7" width="19.140625" style="21" customWidth="1"/>
    <col min="8" max="8" width="22" style="21" customWidth="1"/>
    <col min="9" max="9" width="16.5703125" style="21" customWidth="1"/>
    <col min="10" max="10" width="13.42578125" style="21" customWidth="1"/>
    <col min="11" max="11" width="12.140625" style="21" customWidth="1"/>
    <col min="12" max="12" width="14.42578125" style="21" customWidth="1"/>
    <col min="13" max="13" width="18.140625" style="21" customWidth="1"/>
    <col min="14" max="14" width="13.140625" style="21" customWidth="1"/>
    <col min="15" max="15" width="17.42578125" style="21" customWidth="1"/>
    <col min="16" max="16" width="12.85546875" style="21" customWidth="1"/>
    <col min="17" max="17" width="13.5703125" style="21" customWidth="1"/>
    <col min="18" max="18" width="13.5703125" style="21" hidden="1" customWidth="1"/>
    <col min="19" max="21" width="9.140625" style="21" hidden="1" customWidth="1"/>
    <col min="22" max="22" width="10.85546875" style="21" hidden="1" customWidth="1"/>
    <col min="23" max="24" width="9.140625" style="21" hidden="1" customWidth="1"/>
    <col min="25" max="25" width="13" style="21" hidden="1" customWidth="1"/>
    <col min="26" max="26" width="11.5703125" style="21" hidden="1" customWidth="1"/>
    <col min="27" max="27" width="20.5703125" style="21" hidden="1" customWidth="1"/>
    <col min="28" max="29" width="9.140625" style="21" hidden="1" customWidth="1"/>
    <col min="30" max="30" width="9.140625" style="21" customWidth="1"/>
    <col min="31" max="16384" width="9.140625" style="21"/>
  </cols>
  <sheetData>
    <row r="1" spans="1:29" ht="24.75" customHeight="1" x14ac:dyDescent="0.3">
      <c r="A1" s="168" t="s">
        <v>121</v>
      </c>
      <c r="B1" s="168"/>
      <c r="C1" s="168"/>
      <c r="D1" s="168"/>
      <c r="E1" s="168"/>
      <c r="F1" s="168"/>
      <c r="G1" s="168"/>
      <c r="H1" s="168"/>
      <c r="I1" s="168"/>
      <c r="J1" s="168"/>
      <c r="K1" s="168"/>
      <c r="L1" s="168"/>
      <c r="M1" s="168"/>
      <c r="N1" s="168"/>
      <c r="O1" s="168"/>
      <c r="P1" s="168"/>
      <c r="Q1" s="168"/>
      <c r="R1" s="20"/>
      <c r="Y1" s="21" t="s">
        <v>90</v>
      </c>
      <c r="Z1" s="21" t="s">
        <v>91</v>
      </c>
    </row>
    <row r="2" spans="1:29" x14ac:dyDescent="0.25">
      <c r="A2" s="22"/>
      <c r="B2" s="22"/>
      <c r="C2" s="22"/>
      <c r="D2" s="22"/>
      <c r="E2" s="22"/>
      <c r="F2" s="22"/>
      <c r="G2" s="23"/>
      <c r="H2" s="22"/>
      <c r="I2" s="22"/>
      <c r="J2" s="22"/>
      <c r="K2" s="22"/>
      <c r="L2" s="22"/>
      <c r="M2" s="22"/>
      <c r="N2" s="22"/>
      <c r="O2" s="22"/>
      <c r="P2" s="22"/>
      <c r="Q2" s="22"/>
      <c r="R2" s="22"/>
      <c r="X2" s="21">
        <v>1</v>
      </c>
      <c r="Y2" s="24">
        <f>O8+O10</f>
        <v>0</v>
      </c>
      <c r="Z2" s="24">
        <f>Y2-O8</f>
        <v>0</v>
      </c>
    </row>
    <row r="3" spans="1:29" x14ac:dyDescent="0.25">
      <c r="A3" s="22"/>
      <c r="B3" s="169" t="s">
        <v>105</v>
      </c>
      <c r="C3" s="169"/>
      <c r="D3" s="170">
        <f ca="1">'Графік платежів 1'!C6</f>
        <v>45639</v>
      </c>
      <c r="E3" s="170"/>
      <c r="F3" s="170"/>
      <c r="G3" s="23"/>
      <c r="H3" s="171" t="s">
        <v>66</v>
      </c>
      <c r="I3" s="171"/>
      <c r="J3" s="171"/>
      <c r="K3" s="171"/>
      <c r="L3" s="171"/>
      <c r="M3" s="171"/>
      <c r="N3" s="167">
        <f>'Графік платежів 1'!C11</f>
        <v>2.9499999999999998E-2</v>
      </c>
      <c r="O3" s="167"/>
      <c r="P3" s="25">
        <f>N3</f>
        <v>2.9499999999999998E-2</v>
      </c>
      <c r="Q3" s="22"/>
      <c r="R3" s="22"/>
      <c r="X3" s="26">
        <v>2</v>
      </c>
      <c r="Y3" s="27">
        <f>IF($D$8&gt;12,K37,0)</f>
        <v>0</v>
      </c>
      <c r="Z3" s="24">
        <f>IF(Y3&gt;0,$Z$2,0)</f>
        <v>0</v>
      </c>
    </row>
    <row r="4" spans="1:29" x14ac:dyDescent="0.25">
      <c r="A4" s="22"/>
      <c r="B4" s="159" t="s">
        <v>120</v>
      </c>
      <c r="C4" s="160"/>
      <c r="D4" s="163">
        <v>1000000</v>
      </c>
      <c r="E4" s="163"/>
      <c r="F4" s="163"/>
      <c r="G4" s="28"/>
      <c r="H4" s="165" t="s">
        <v>49</v>
      </c>
      <c r="I4" s="165"/>
      <c r="J4" s="165"/>
      <c r="K4" s="165"/>
      <c r="L4" s="165"/>
      <c r="M4" s="165"/>
      <c r="N4" s="166">
        <f>N3*D6</f>
        <v>14750</v>
      </c>
      <c r="O4" s="166"/>
      <c r="P4" s="29">
        <f>D6*P3</f>
        <v>14750</v>
      </c>
      <c r="Q4" s="22"/>
      <c r="R4" s="22"/>
      <c r="X4" s="26">
        <v>3</v>
      </c>
      <c r="Y4" s="27">
        <f>IF($D$8&gt;24,K49,0)</f>
        <v>0</v>
      </c>
      <c r="Z4" s="24">
        <f t="shared" ref="Z4:Z21" si="0">IF(Y4&gt;0,$Z$2,0)</f>
        <v>0</v>
      </c>
    </row>
    <row r="5" spans="1:29" ht="25.5" customHeight="1" x14ac:dyDescent="0.25">
      <c r="A5" s="22"/>
      <c r="B5" s="161"/>
      <c r="C5" s="162"/>
      <c r="D5" s="164"/>
      <c r="E5" s="164"/>
      <c r="F5" s="164"/>
      <c r="G5" s="30"/>
      <c r="H5" s="31" t="s">
        <v>63</v>
      </c>
      <c r="I5" s="32"/>
      <c r="J5" s="32"/>
      <c r="K5" s="32"/>
      <c r="L5" s="32"/>
      <c r="M5" s="32"/>
      <c r="N5" s="167">
        <f>'Графік платежів 1'!C10</f>
        <v>0</v>
      </c>
      <c r="O5" s="167"/>
      <c r="P5" s="33">
        <v>0</v>
      </c>
      <c r="Q5" s="22"/>
      <c r="R5" s="22"/>
      <c r="X5" s="26">
        <v>4</v>
      </c>
      <c r="Y5" s="27">
        <f>IF($D$8&gt;36,K61,0)</f>
        <v>0</v>
      </c>
      <c r="Z5" s="24">
        <f t="shared" si="0"/>
        <v>0</v>
      </c>
    </row>
    <row r="6" spans="1:29" x14ac:dyDescent="0.25">
      <c r="A6" s="22"/>
      <c r="B6" s="172" t="s">
        <v>40</v>
      </c>
      <c r="C6" s="173"/>
      <c r="D6" s="163">
        <f>'Графік платежів 1'!C7</f>
        <v>500000</v>
      </c>
      <c r="E6" s="163"/>
      <c r="F6" s="163"/>
      <c r="G6" s="4"/>
      <c r="H6" s="176" t="s">
        <v>79</v>
      </c>
      <c r="I6" s="178" t="s">
        <v>85</v>
      </c>
      <c r="J6" s="178"/>
      <c r="K6" s="178"/>
      <c r="L6" s="178"/>
      <c r="M6" s="178"/>
      <c r="N6" s="178"/>
      <c r="O6" s="178"/>
      <c r="P6" s="34"/>
      <c r="Q6" s="22"/>
      <c r="R6" s="22"/>
      <c r="X6" s="26">
        <v>5</v>
      </c>
      <c r="Y6" s="27">
        <f>IF($D$8&gt;48,K73,0)</f>
        <v>0</v>
      </c>
      <c r="Z6" s="24">
        <f t="shared" si="0"/>
        <v>0</v>
      </c>
    </row>
    <row r="7" spans="1:29" ht="28.5" customHeight="1" x14ac:dyDescent="0.25">
      <c r="A7" s="22"/>
      <c r="B7" s="174"/>
      <c r="C7" s="175"/>
      <c r="D7" s="164"/>
      <c r="E7" s="164"/>
      <c r="F7" s="164"/>
      <c r="G7" s="35"/>
      <c r="H7" s="177"/>
      <c r="I7" s="179" t="s">
        <v>86</v>
      </c>
      <c r="J7" s="180"/>
      <c r="K7" s="180"/>
      <c r="L7" s="180"/>
      <c r="M7" s="180"/>
      <c r="N7" s="181">
        <f>'Графік платежів 1'!G8</f>
        <v>0</v>
      </c>
      <c r="O7" s="182"/>
      <c r="P7" s="36">
        <f>N7</f>
        <v>0</v>
      </c>
      <c r="Q7" s="22"/>
      <c r="R7" s="22"/>
      <c r="X7" s="26">
        <v>6</v>
      </c>
      <c r="Y7" s="27">
        <f>IF($D$8&gt;60,K85,0)</f>
        <v>0</v>
      </c>
      <c r="Z7" s="24">
        <f t="shared" si="0"/>
        <v>0</v>
      </c>
      <c r="AA7" s="21" t="s">
        <v>58</v>
      </c>
    </row>
    <row r="8" spans="1:29" ht="19.5" customHeight="1" x14ac:dyDescent="0.25">
      <c r="A8" s="22"/>
      <c r="B8" s="183" t="s">
        <v>39</v>
      </c>
      <c r="C8" s="184"/>
      <c r="D8" s="185">
        <f>'Графік платежів 1'!C8</f>
        <v>60</v>
      </c>
      <c r="E8" s="185"/>
      <c r="F8" s="185"/>
      <c r="G8" s="72" t="str">
        <f>IF(D8&gt;120,"Макс. строк- 60 міс."," ")</f>
        <v xml:space="preserve"> </v>
      </c>
      <c r="H8" s="177"/>
      <c r="I8" s="179" t="s">
        <v>107</v>
      </c>
      <c r="J8" s="180"/>
      <c r="K8" s="180"/>
      <c r="L8" s="180"/>
      <c r="M8" s="180"/>
      <c r="N8" s="64">
        <f>'Графік платежів 1'!G10</f>
        <v>0</v>
      </c>
      <c r="O8" s="65">
        <f>N8*D4</f>
        <v>0</v>
      </c>
      <c r="P8" s="37">
        <f>P4</f>
        <v>14750</v>
      </c>
      <c r="Q8" s="38"/>
      <c r="R8" s="38"/>
      <c r="T8" s="21" t="s">
        <v>55</v>
      </c>
      <c r="X8" s="26">
        <v>7</v>
      </c>
      <c r="Y8" s="27">
        <f>IF($D$8&gt;72,K97,0)</f>
        <v>0</v>
      </c>
      <c r="Z8" s="24">
        <f t="shared" si="0"/>
        <v>0</v>
      </c>
      <c r="AA8" s="22" t="s">
        <v>59</v>
      </c>
      <c r="AB8" s="21" t="s">
        <v>53</v>
      </c>
      <c r="AC8" s="21">
        <v>1700</v>
      </c>
    </row>
    <row r="9" spans="1:29" ht="21" customHeight="1" x14ac:dyDescent="0.25">
      <c r="A9" s="22"/>
      <c r="B9" s="183" t="s">
        <v>38</v>
      </c>
      <c r="C9" s="184"/>
      <c r="D9" s="186">
        <f>'Графік платежів 1'!C9</f>
        <v>0.29949999999999999</v>
      </c>
      <c r="E9" s="186"/>
      <c r="F9" s="186"/>
      <c r="G9" s="84">
        <f>-PMT(D9/12,D8,D6)</f>
        <v>16161.34539537134</v>
      </c>
      <c r="H9" s="177"/>
      <c r="I9" s="66" t="s">
        <v>87</v>
      </c>
      <c r="J9" s="67"/>
      <c r="K9" s="67"/>
      <c r="L9" s="67"/>
      <c r="M9" s="67"/>
      <c r="N9" s="181">
        <f>'Графік платежів 1'!G9</f>
        <v>0</v>
      </c>
      <c r="O9" s="182"/>
      <c r="P9" s="34">
        <f>P5</f>
        <v>0</v>
      </c>
      <c r="Q9" s="22"/>
      <c r="R9" s="22"/>
      <c r="T9" s="21" t="s">
        <v>56</v>
      </c>
      <c r="X9" s="26">
        <v>8</v>
      </c>
      <c r="Y9" s="27">
        <f>IF($D$8&gt;84,K109,0)</f>
        <v>0</v>
      </c>
      <c r="Z9" s="24">
        <f t="shared" si="0"/>
        <v>0</v>
      </c>
    </row>
    <row r="10" spans="1:29" ht="18" customHeight="1" x14ac:dyDescent="0.25">
      <c r="A10" s="22"/>
      <c r="B10" s="183" t="s">
        <v>106</v>
      </c>
      <c r="C10" s="184"/>
      <c r="D10" s="187">
        <f ca="1">DATE(YEAR(EDATE(D3,D8)),MONTH(EDATE(D3,D8)),DAY(10))</f>
        <v>47462</v>
      </c>
      <c r="E10" s="187"/>
      <c r="F10" s="187"/>
      <c r="G10" s="5"/>
      <c r="H10" s="177"/>
      <c r="I10" s="179" t="s">
        <v>108</v>
      </c>
      <c r="J10" s="180"/>
      <c r="K10" s="180"/>
      <c r="L10" s="180"/>
      <c r="M10" s="180"/>
      <c r="N10" s="64">
        <f>'Графік платежів 1'!G7</f>
        <v>0</v>
      </c>
      <c r="O10" s="65">
        <f>N10*D6</f>
        <v>0</v>
      </c>
      <c r="P10" s="42"/>
      <c r="Q10" s="5"/>
      <c r="R10" s="5"/>
      <c r="S10" s="2"/>
      <c r="X10" s="26">
        <v>9</v>
      </c>
      <c r="Y10" s="27">
        <f>IF($D$8&gt;96,K121,0)</f>
        <v>0</v>
      </c>
      <c r="Z10" s="24">
        <f t="shared" si="0"/>
        <v>0</v>
      </c>
      <c r="AC10" s="21">
        <f>D4/AC8</f>
        <v>588.23529411764707</v>
      </c>
    </row>
    <row r="11" spans="1:29" ht="12.75" customHeight="1" x14ac:dyDescent="0.25">
      <c r="A11" s="22"/>
      <c r="B11" s="22"/>
      <c r="C11" s="43" t="s">
        <v>52</v>
      </c>
      <c r="D11" s="198"/>
      <c r="E11" s="198"/>
      <c r="F11" s="198"/>
      <c r="G11" s="5"/>
      <c r="H11" s="177"/>
      <c r="I11" s="66" t="s">
        <v>83</v>
      </c>
      <c r="J11" s="67"/>
      <c r="K11" s="67"/>
      <c r="L11" s="67"/>
      <c r="M11" s="67"/>
      <c r="N11" s="181">
        <v>0</v>
      </c>
      <c r="O11" s="182"/>
      <c r="P11" s="34"/>
      <c r="Q11" s="5"/>
      <c r="R11" s="5"/>
      <c r="S11" s="2"/>
      <c r="X11" s="26">
        <v>10</v>
      </c>
      <c r="Y11" s="27">
        <f>IF($D$8&gt;108,K133,0)</f>
        <v>0</v>
      </c>
      <c r="Z11" s="24">
        <f t="shared" si="0"/>
        <v>0</v>
      </c>
    </row>
    <row r="12" spans="1:29" ht="30" hidden="1" customHeight="1" x14ac:dyDescent="0.25">
      <c r="A12" s="22"/>
      <c r="B12" s="22"/>
      <c r="C12" s="43" t="s">
        <v>64</v>
      </c>
      <c r="D12" s="36"/>
      <c r="E12" s="39">
        <f>F12+F13</f>
        <v>0</v>
      </c>
      <c r="F12" s="36">
        <v>0</v>
      </c>
      <c r="G12" s="5"/>
      <c r="H12" s="15"/>
      <c r="I12" s="40"/>
      <c r="J12" s="41"/>
      <c r="K12" s="41"/>
      <c r="L12" s="41"/>
      <c r="M12" s="41"/>
      <c r="N12" s="190"/>
      <c r="O12" s="191"/>
      <c r="P12" s="37">
        <f>IF(M12="наявне",D6*D8*0.12%,0)</f>
        <v>0</v>
      </c>
      <c r="Q12" s="12"/>
      <c r="R12" s="5"/>
      <c r="S12" s="2"/>
      <c r="X12" s="26">
        <v>11</v>
      </c>
      <c r="Y12" s="27">
        <f>IF($D$8&gt;120,K145,0)</f>
        <v>0</v>
      </c>
      <c r="Z12" s="24">
        <f t="shared" si="0"/>
        <v>0</v>
      </c>
    </row>
    <row r="13" spans="1:29" ht="15.75" hidden="1" customHeight="1" x14ac:dyDescent="0.25">
      <c r="A13" s="44"/>
      <c r="B13" s="22"/>
      <c r="C13" s="43" t="s">
        <v>51</v>
      </c>
      <c r="D13" s="45"/>
      <c r="E13" s="45"/>
      <c r="F13" s="36">
        <v>0</v>
      </c>
      <c r="G13" s="6"/>
      <c r="H13" s="15"/>
      <c r="I13" s="40"/>
      <c r="J13" s="41"/>
      <c r="K13" s="41"/>
      <c r="L13" s="41"/>
      <c r="M13" s="41"/>
      <c r="N13" s="190"/>
      <c r="O13" s="191"/>
      <c r="P13" s="11"/>
      <c r="Q13" s="6"/>
      <c r="R13" s="6"/>
      <c r="S13" s="1"/>
      <c r="X13" s="26">
        <v>12</v>
      </c>
      <c r="Y13" s="27">
        <f>IF($D$8&gt;132,K157,0)</f>
        <v>0</v>
      </c>
      <c r="Z13" s="24">
        <f t="shared" si="0"/>
        <v>0</v>
      </c>
    </row>
    <row r="14" spans="1:29" ht="30" hidden="1" x14ac:dyDescent="0.25">
      <c r="A14" s="22"/>
      <c r="B14" s="22"/>
      <c r="C14" s="46" t="s">
        <v>93</v>
      </c>
      <c r="D14" s="25"/>
      <c r="E14" s="47"/>
      <c r="F14" s="25">
        <v>0.1699</v>
      </c>
      <c r="G14" s="6"/>
      <c r="H14" s="48" t="s">
        <v>88</v>
      </c>
      <c r="I14" s="49"/>
      <c r="J14" s="49"/>
      <c r="K14" s="49"/>
      <c r="L14" s="50"/>
      <c r="M14" s="51" t="s">
        <v>89</v>
      </c>
      <c r="N14" s="192">
        <v>0</v>
      </c>
      <c r="O14" s="192"/>
      <c r="P14" s="6"/>
      <c r="Q14" s="6"/>
      <c r="R14" s="6"/>
      <c r="S14" s="1"/>
      <c r="X14" s="26">
        <v>13</v>
      </c>
      <c r="Y14" s="27">
        <f>IF($D$8&gt;144,K169,0)</f>
        <v>0</v>
      </c>
      <c r="Z14" s="24">
        <f t="shared" si="0"/>
        <v>0</v>
      </c>
    </row>
    <row r="15" spans="1:29" ht="31.7" hidden="1" customHeight="1" x14ac:dyDescent="0.25">
      <c r="A15" s="22"/>
      <c r="B15" s="22"/>
      <c r="C15" s="46" t="s">
        <v>93</v>
      </c>
      <c r="D15" s="36"/>
      <c r="E15" s="45"/>
      <c r="F15" s="36">
        <v>0.1699</v>
      </c>
      <c r="G15" s="5"/>
      <c r="H15" s="14"/>
      <c r="I15" s="14"/>
      <c r="J15" s="14"/>
      <c r="K15" s="14"/>
      <c r="L15" s="14"/>
      <c r="M15" s="5"/>
      <c r="N15" s="5"/>
      <c r="O15" s="5"/>
      <c r="P15" s="52"/>
      <c r="Q15" s="5"/>
      <c r="R15" s="5"/>
      <c r="S15" s="2"/>
      <c r="X15" s="26">
        <v>14</v>
      </c>
      <c r="Y15" s="27">
        <f>IF($D$8&gt;156,K181,0)</f>
        <v>0</v>
      </c>
      <c r="Z15" s="24">
        <f t="shared" si="0"/>
        <v>0</v>
      </c>
      <c r="AC15" s="21" t="str">
        <f>IF(AC10&lt;165,"3%",IF(AC10&gt;290,"5%","4%"))</f>
        <v>5%</v>
      </c>
    </row>
    <row r="16" spans="1:29" hidden="1" x14ac:dyDescent="0.25">
      <c r="A16" s="22"/>
      <c r="B16" s="22"/>
      <c r="C16" s="45"/>
      <c r="D16" s="45"/>
      <c r="E16" s="45"/>
      <c r="F16" s="53"/>
      <c r="G16" s="5"/>
      <c r="H16" s="14"/>
      <c r="I16" s="14"/>
      <c r="J16" s="14"/>
      <c r="K16" s="14"/>
      <c r="L16" s="14"/>
      <c r="M16" s="5"/>
      <c r="N16" s="5"/>
      <c r="O16" s="5"/>
      <c r="P16" s="52"/>
      <c r="Q16" s="5"/>
      <c r="R16" s="5"/>
      <c r="S16" s="2"/>
      <c r="X16" s="26">
        <v>15</v>
      </c>
      <c r="Y16" s="27">
        <f>IF($D$8&gt;168,K193,0)</f>
        <v>0</v>
      </c>
      <c r="Z16" s="24">
        <f t="shared" si="0"/>
        <v>0</v>
      </c>
    </row>
    <row r="17" spans="1:26" hidden="1" x14ac:dyDescent="0.25">
      <c r="A17" s="22"/>
      <c r="B17" s="22"/>
      <c r="C17" s="45"/>
      <c r="D17" s="45"/>
      <c r="E17" s="45"/>
      <c r="F17" s="53"/>
      <c r="G17" s="5"/>
      <c r="H17" s="14"/>
      <c r="I17" s="14"/>
      <c r="J17" s="14"/>
      <c r="K17" s="14"/>
      <c r="L17" s="14"/>
      <c r="M17" s="5"/>
      <c r="N17" s="5"/>
      <c r="O17" s="5"/>
      <c r="P17" s="52"/>
      <c r="Q17" s="5"/>
      <c r="R17" s="5"/>
      <c r="S17" s="2"/>
      <c r="X17" s="26">
        <v>16</v>
      </c>
      <c r="Y17" s="27">
        <f>IF($D$8&gt;180,K205,0)</f>
        <v>0</v>
      </c>
      <c r="Z17" s="24">
        <f t="shared" si="0"/>
        <v>0</v>
      </c>
    </row>
    <row r="18" spans="1:26" hidden="1" x14ac:dyDescent="0.25">
      <c r="A18" s="22"/>
      <c r="B18" s="22"/>
      <c r="C18" s="45"/>
      <c r="D18" s="45"/>
      <c r="E18" s="45"/>
      <c r="F18" s="53"/>
      <c r="G18" s="5"/>
      <c r="H18" s="14"/>
      <c r="I18" s="14"/>
      <c r="J18" s="14"/>
      <c r="K18" s="14"/>
      <c r="L18" s="14"/>
      <c r="M18" s="5"/>
      <c r="N18" s="5"/>
      <c r="O18" s="5"/>
      <c r="P18" s="52"/>
      <c r="Q18" s="5"/>
      <c r="R18" s="5"/>
      <c r="S18" s="2"/>
      <c r="X18" s="26">
        <v>17</v>
      </c>
      <c r="Y18" s="27">
        <f>IF($D$8&gt;192,K217,0)</f>
        <v>0</v>
      </c>
      <c r="Z18" s="24">
        <f t="shared" si="0"/>
        <v>0</v>
      </c>
    </row>
    <row r="19" spans="1:26" hidden="1" x14ac:dyDescent="0.25">
      <c r="A19" s="22"/>
      <c r="B19" s="22"/>
      <c r="C19" s="45"/>
      <c r="D19" s="45"/>
      <c r="E19" s="45"/>
      <c r="F19" s="53"/>
      <c r="G19" s="5"/>
      <c r="H19" s="14"/>
      <c r="I19" s="14"/>
      <c r="J19" s="14"/>
      <c r="K19" s="14"/>
      <c r="L19" s="14"/>
      <c r="M19" s="5"/>
      <c r="N19" s="5"/>
      <c r="O19" s="5"/>
      <c r="P19" s="52"/>
      <c r="Q19" s="5"/>
      <c r="R19" s="5"/>
      <c r="S19" s="2"/>
      <c r="X19" s="26">
        <v>18</v>
      </c>
      <c r="Y19" s="27">
        <f>IF($D$8&gt;204,K229,0)</f>
        <v>0</v>
      </c>
      <c r="Z19" s="24">
        <f t="shared" si="0"/>
        <v>0</v>
      </c>
    </row>
    <row r="20" spans="1:26" hidden="1" x14ac:dyDescent="0.25">
      <c r="A20" s="22"/>
      <c r="B20" s="22"/>
      <c r="C20" s="45"/>
      <c r="D20" s="45"/>
      <c r="E20" s="45"/>
      <c r="F20" s="53"/>
      <c r="G20" s="5"/>
      <c r="H20" s="14"/>
      <c r="I20" s="14"/>
      <c r="J20" s="14"/>
      <c r="K20" s="14"/>
      <c r="L20" s="14"/>
      <c r="M20" s="5"/>
      <c r="N20" s="5"/>
      <c r="O20" s="5"/>
      <c r="P20" s="52"/>
      <c r="Q20" s="5"/>
      <c r="R20" s="5"/>
      <c r="S20" s="2"/>
      <c r="X20" s="26">
        <v>19</v>
      </c>
      <c r="Y20" s="27">
        <f>IF($D$8&gt;216,K241,0)</f>
        <v>0</v>
      </c>
      <c r="Z20" s="24">
        <f t="shared" si="0"/>
        <v>0</v>
      </c>
    </row>
    <row r="21" spans="1:26" ht="18.75" customHeight="1" x14ac:dyDescent="0.25">
      <c r="A21" s="54"/>
      <c r="B21" s="22"/>
      <c r="C21" s="54"/>
      <c r="D21" s="54"/>
      <c r="E21" s="22"/>
      <c r="F21" s="22"/>
      <c r="G21" s="9"/>
      <c r="H21" s="10"/>
      <c r="I21" s="9"/>
      <c r="J21" s="9"/>
      <c r="K21" s="9"/>
      <c r="L21" s="9"/>
      <c r="M21" s="9"/>
      <c r="N21" s="9"/>
      <c r="O21" s="9"/>
      <c r="P21" s="10"/>
      <c r="Q21" s="6"/>
      <c r="R21" s="6"/>
      <c r="S21" s="1"/>
      <c r="X21" s="26">
        <v>20</v>
      </c>
      <c r="Y21" s="27">
        <f>IF($D$8&gt;228,K253,0)</f>
        <v>0</v>
      </c>
      <c r="Z21" s="24">
        <f t="shared" si="0"/>
        <v>0</v>
      </c>
    </row>
    <row r="22" spans="1:26" ht="23.25" customHeight="1" x14ac:dyDescent="0.25">
      <c r="A22" s="193" t="s">
        <v>41</v>
      </c>
      <c r="B22" s="68" t="s">
        <v>42</v>
      </c>
      <c r="C22" s="193" t="s">
        <v>42</v>
      </c>
      <c r="D22" s="69" t="s">
        <v>43</v>
      </c>
      <c r="E22" s="193" t="s">
        <v>44</v>
      </c>
      <c r="F22" s="193" t="s">
        <v>45</v>
      </c>
      <c r="G22" s="193" t="s">
        <v>46</v>
      </c>
      <c r="H22" s="193" t="s">
        <v>47</v>
      </c>
      <c r="I22" s="195" t="s">
        <v>79</v>
      </c>
      <c r="J22" s="196"/>
      <c r="K22" s="196"/>
      <c r="L22" s="197"/>
      <c r="M22" s="193" t="s">
        <v>48</v>
      </c>
      <c r="N22" s="193" t="s">
        <v>84</v>
      </c>
      <c r="O22" s="193" t="s">
        <v>122</v>
      </c>
      <c r="P22" s="193" t="s">
        <v>61</v>
      </c>
      <c r="Q22" s="193" t="s">
        <v>60</v>
      </c>
      <c r="R22" s="188" t="s">
        <v>92</v>
      </c>
      <c r="S22" s="1"/>
      <c r="Y22" s="24">
        <f>SUM(Y2:Y21)</f>
        <v>0</v>
      </c>
      <c r="Z22" s="24">
        <f>SUM(Z2:Z21)</f>
        <v>0</v>
      </c>
    </row>
    <row r="23" spans="1:26" ht="22.7" customHeight="1" x14ac:dyDescent="0.25">
      <c r="A23" s="194"/>
      <c r="B23" s="70"/>
      <c r="C23" s="194"/>
      <c r="D23" s="71"/>
      <c r="E23" s="194"/>
      <c r="F23" s="194"/>
      <c r="G23" s="194"/>
      <c r="H23" s="194"/>
      <c r="I23" s="70" t="s">
        <v>80</v>
      </c>
      <c r="J23" s="70" t="s">
        <v>81</v>
      </c>
      <c r="K23" s="70" t="s">
        <v>82</v>
      </c>
      <c r="L23" s="70" t="s">
        <v>83</v>
      </c>
      <c r="M23" s="194"/>
      <c r="N23" s="194"/>
      <c r="O23" s="194"/>
      <c r="P23" s="194"/>
      <c r="Q23" s="194"/>
      <c r="R23" s="189"/>
      <c r="S23" s="1"/>
    </row>
    <row r="24" spans="1:26" ht="12" customHeight="1" x14ac:dyDescent="0.25">
      <c r="A24" s="7"/>
      <c r="B24" s="55">
        <f ca="1">D3</f>
        <v>45639</v>
      </c>
      <c r="C24" s="55">
        <f ca="1">IF(A24&gt;$D$8,"",B24)</f>
        <v>45639</v>
      </c>
      <c r="D24" s="7"/>
      <c r="E24" s="56">
        <f>D6</f>
        <v>500000</v>
      </c>
      <c r="F24" s="7"/>
      <c r="G24" s="7"/>
      <c r="H24" s="87">
        <f>-E24+I24+J24+K24+L24+M24+N24+O24</f>
        <v>-485250</v>
      </c>
      <c r="I24" s="57">
        <f>P7</f>
        <v>0</v>
      </c>
      <c r="J24" s="57">
        <f>$N$9</f>
        <v>0</v>
      </c>
      <c r="K24" s="57">
        <f>O8+O10</f>
        <v>0</v>
      </c>
      <c r="L24" s="57">
        <f>N11</f>
        <v>0</v>
      </c>
      <c r="M24" s="56">
        <f>P8</f>
        <v>14750</v>
      </c>
      <c r="N24" s="56">
        <f>N14</f>
        <v>0</v>
      </c>
      <c r="O24" s="57"/>
      <c r="P24" s="16" t="s">
        <v>144</v>
      </c>
      <c r="Q24" s="17" t="s">
        <v>144</v>
      </c>
      <c r="R24" s="56">
        <f>H24</f>
        <v>-485250</v>
      </c>
      <c r="S24" s="1"/>
      <c r="T24" s="21">
        <f ca="1">T25</f>
        <v>365</v>
      </c>
    </row>
    <row r="25" spans="1:26" x14ac:dyDescent="0.25">
      <c r="A25" s="58">
        <v>1</v>
      </c>
      <c r="B25" s="55">
        <f ca="1">EDATE($B$24,A25)</f>
        <v>45670</v>
      </c>
      <c r="C25" s="55">
        <f ca="1">IF(A25&gt;$D$8,"",B25-DAY(B25)+10)</f>
        <v>45667</v>
      </c>
      <c r="D25" s="58">
        <f ca="1">IF(A25&gt;$D$8,"",C25-C24)</f>
        <v>28</v>
      </c>
      <c r="E25" s="56">
        <f>E24-F25</f>
        <v>496317.82127129531</v>
      </c>
      <c r="F25" s="56">
        <f>IF(A24=$D$8,SUM($F$24:F24),IF(A24&gt;$D$8+1,"",PPMT($D$9/12,A25,$D$8,-$D$6)))</f>
        <v>3682.1787287046741</v>
      </c>
      <c r="G25" s="56">
        <f>IF(A24=$D$8,SUM($G$24:G24),IF(A24&gt;$D$8+1,"",IPMT($D$9/12,A25,$D$8,-$D$6)))</f>
        <v>12479.166666666666</v>
      </c>
      <c r="H25" s="56">
        <f>IF(A24=$D$8,SUM($H24:H$25),IF(A24&gt;$D$8,"",F25+G25+O25))</f>
        <v>16161.34539537134</v>
      </c>
      <c r="I25" s="56" t="s">
        <v>144</v>
      </c>
      <c r="J25" s="56" t="s">
        <v>144</v>
      </c>
      <c r="K25" s="56" t="s">
        <v>144</v>
      </c>
      <c r="L25" s="56"/>
      <c r="M25" s="58" t="s">
        <v>144</v>
      </c>
      <c r="N25" s="58"/>
      <c r="O25" s="56">
        <f>IF(A24=$D$8,SUM($O24:O$25),IF(A24&gt;$D$8," ",$N$5*$D$6))</f>
        <v>0</v>
      </c>
      <c r="P25" s="59" t="str">
        <f>IF(A24=$D$8,XIRR(H$24:H24,C$24:C24),"")</f>
        <v/>
      </c>
      <c r="Q25" s="58" t="s">
        <v>144</v>
      </c>
      <c r="R25" s="56">
        <f>SUM(H25:Q25)</f>
        <v>16161.34539537134</v>
      </c>
      <c r="S25" s="21">
        <f ca="1">IF(C25="","",YEAR(C25))</f>
        <v>2025</v>
      </c>
      <c r="T25" s="21">
        <f ca="1">IF(OR(S25=2024,S25=2028,S25=2016,S25=2020,S25=2024,S25=2028,S25=2032,S25=2036,S25=2040),366,365)</f>
        <v>365</v>
      </c>
      <c r="U25" s="21">
        <f ca="1">IF(C25="","",DAY(C25))</f>
        <v>10</v>
      </c>
      <c r="V25" s="60">
        <f ca="1">U25-1</f>
        <v>9</v>
      </c>
      <c r="W25" s="61">
        <f ca="1">D25-V25</f>
        <v>19</v>
      </c>
    </row>
    <row r="26" spans="1:26" x14ac:dyDescent="0.25">
      <c r="A26" s="58">
        <f t="shared" ref="A26:A89" si="1">IF(A25&lt;$D$8,A25+1,"")</f>
        <v>2</v>
      </c>
      <c r="B26" s="55">
        <f t="shared" ref="B26" ca="1" si="2">EDATE($B$24,A26)</f>
        <v>45701</v>
      </c>
      <c r="C26" s="55">
        <f t="shared" ref="C26:C84" ca="1" si="3">IF(A26&gt;$D$8,"",B26-DAY(B26)+10)</f>
        <v>45698</v>
      </c>
      <c r="D26" s="58">
        <f t="shared" ref="D26:D84" ca="1" si="4">IF(A26&gt;$D$8,"",C26-C25)</f>
        <v>31</v>
      </c>
      <c r="E26" s="56">
        <f>E25-F26</f>
        <v>492543.74149848672</v>
      </c>
      <c r="F26" s="56">
        <f>IF(A25=$D$8,SUM($F$24:F25),IF(A25&gt;$D$8+1,"",PPMT($D$9/12,A26,$D$8,-$D$6)))</f>
        <v>3774.0797728085945</v>
      </c>
      <c r="G26" s="56">
        <f>IF(A25=$D$8,SUM($G$24:G25),IF(A25&gt;$D$8+1,"",IPMT($D$9/12,A26,$D$8,-$D$6)))</f>
        <v>12387.265622562747</v>
      </c>
      <c r="H26" s="56">
        <f>IF(A25=$D$8,SUM($H$25:H25),IF(A25&gt;$D$8,"",F26+G26+O26))</f>
        <v>16161.345395371342</v>
      </c>
      <c r="I26" s="56" t="s">
        <v>144</v>
      </c>
      <c r="J26" s="56"/>
      <c r="K26" s="56" t="s">
        <v>144</v>
      </c>
      <c r="L26" s="56"/>
      <c r="M26" s="58" t="s">
        <v>144</v>
      </c>
      <c r="N26" s="58"/>
      <c r="O26" s="56">
        <f>IF(A25=$D$8,SUM($O$25:O25),IF(A25&gt;$D$8," ",$N$5*$D$6))</f>
        <v>0</v>
      </c>
      <c r="P26" s="59" t="str">
        <f>IF(A25=$D$8,XIRR(H$24:H25,C$24:C25),"")</f>
        <v/>
      </c>
      <c r="Q26" s="58" t="s">
        <v>144</v>
      </c>
      <c r="R26" s="56">
        <f t="shared" ref="R26:R89" si="5">SUM(H26:Q26)</f>
        <v>16161.345395371342</v>
      </c>
      <c r="S26" s="21">
        <f t="shared" ref="S26:S89" ca="1" si="6">IF(C26="","",YEAR(C26))</f>
        <v>2025</v>
      </c>
      <c r="T26" s="21">
        <f t="shared" ref="T26:T89" ca="1" si="7">IF(OR(S26=2024,S26=2028,S26=2016,S26=2020,S26=2024,S26=2028,S26=2032,S26=2036,S26=2040),366,365)</f>
        <v>365</v>
      </c>
      <c r="U26" s="21">
        <f t="shared" ref="U26:U84" ca="1" si="8">IF(C26="","",DAY(C26))</f>
        <v>10</v>
      </c>
      <c r="V26" s="60">
        <f t="shared" ref="V26:V84" ca="1" si="9">U26-1</f>
        <v>9</v>
      </c>
      <c r="W26" s="61">
        <f t="shared" ref="W26:W84" ca="1" si="10">D26-V26</f>
        <v>22</v>
      </c>
    </row>
    <row r="27" spans="1:26" x14ac:dyDescent="0.25">
      <c r="A27" s="58">
        <f t="shared" si="1"/>
        <v>3</v>
      </c>
      <c r="B27" s="55">
        <f t="shared" ref="B27:B36" ca="1" si="11">IF(A27="","",EDATE($B$24,A27))</f>
        <v>45729</v>
      </c>
      <c r="C27" s="55">
        <f t="shared" ca="1" si="3"/>
        <v>45726</v>
      </c>
      <c r="D27" s="58">
        <f t="shared" ca="1" si="4"/>
        <v>28</v>
      </c>
      <c r="E27" s="56">
        <f t="shared" ref="E27:E36" si="12">E26-F27</f>
        <v>488675.46698468179</v>
      </c>
      <c r="F27" s="56">
        <f>IF(A26=$D$8,SUM($F$24:F26),IF(A26&gt;$D$8+1,"",PPMT($D$9/12,A27,$D$8,-$D$6)))</f>
        <v>3868.2745138049431</v>
      </c>
      <c r="G27" s="56">
        <f>IF(A26=$D$8,SUM($G$24:G26),IF(A26&gt;$D$8+1,"",IPMT($D$9/12,A27,$D$8,-$D$6)))</f>
        <v>12293.070881566397</v>
      </c>
      <c r="H27" s="56">
        <f>IF(A26=$D$8,SUM($H$25:H26),IF(A26&gt;$D$8,"",F27+G27+O27))</f>
        <v>16161.34539537134</v>
      </c>
      <c r="I27" s="56" t="s">
        <v>144</v>
      </c>
      <c r="J27" s="56"/>
      <c r="K27" s="56" t="s">
        <v>144</v>
      </c>
      <c r="L27" s="56"/>
      <c r="M27" s="58" t="s">
        <v>144</v>
      </c>
      <c r="N27" s="58"/>
      <c r="O27" s="56">
        <f>IF(A26=$D$8,SUM($O$25:O26),IF(A26&gt;$D$8," ",$N$5*$D$6))</f>
        <v>0</v>
      </c>
      <c r="P27" s="59" t="str">
        <f>IF(A26=$D$8,XIRR(H$24:H26,C$24:C26),"")</f>
        <v/>
      </c>
      <c r="Q27" s="56" t="str">
        <f t="shared" ref="Q27:Q90" si="13">IF(A26=$D$8,G27+M27+F27+I27+J27+K27+L27+N27+O27,"")</f>
        <v/>
      </c>
      <c r="R27" s="56">
        <f t="shared" si="5"/>
        <v>16161.34539537134</v>
      </c>
      <c r="S27" s="21">
        <f t="shared" ca="1" si="6"/>
        <v>2025</v>
      </c>
      <c r="T27" s="21">
        <f t="shared" ca="1" si="7"/>
        <v>365</v>
      </c>
      <c r="U27" s="21">
        <f t="shared" ca="1" si="8"/>
        <v>10</v>
      </c>
      <c r="V27" s="60">
        <f t="shared" ca="1" si="9"/>
        <v>9</v>
      </c>
      <c r="W27" s="61">
        <f t="shared" ca="1" si="10"/>
        <v>19</v>
      </c>
    </row>
    <row r="28" spans="1:26" x14ac:dyDescent="0.25">
      <c r="A28" s="58">
        <f t="shared" si="1"/>
        <v>4</v>
      </c>
      <c r="B28" s="55">
        <f t="shared" ca="1" si="11"/>
        <v>45760</v>
      </c>
      <c r="C28" s="55">
        <f t="shared" ca="1" si="3"/>
        <v>45757</v>
      </c>
      <c r="D28" s="58">
        <f t="shared" ca="1" si="4"/>
        <v>31</v>
      </c>
      <c r="E28" s="56">
        <f t="shared" si="12"/>
        <v>484710.64678613644</v>
      </c>
      <c r="F28" s="56">
        <f>IF(A27=$D$8,SUM($F$24:F27),IF(A27&gt;$D$8+1,"",PPMT($D$9/12,A28,$D$8,-$D$6)))</f>
        <v>3964.8201985453247</v>
      </c>
      <c r="G28" s="56">
        <f>IF(A27=$D$8,SUM($G$24:G27),IF(A27&gt;$D$8+1,"",IPMT($D$9/12,A28,$D$8,-$D$6)))</f>
        <v>12196.525196826016</v>
      </c>
      <c r="H28" s="56">
        <f>IF(A27=$D$8,SUM($H$25:H27),IF(A27&gt;$D$8,"",F28+G28+O28))</f>
        <v>16161.345395371342</v>
      </c>
      <c r="I28" s="56" t="s">
        <v>144</v>
      </c>
      <c r="J28" s="56"/>
      <c r="K28" s="56" t="s">
        <v>144</v>
      </c>
      <c r="L28" s="56"/>
      <c r="M28" s="56" t="s">
        <v>144</v>
      </c>
      <c r="N28" s="56"/>
      <c r="O28" s="56">
        <f>IF(A27=$D$8,SUM($O$25:O27),IF(A27&gt;$D$8," ",$N$5*$D$6))</f>
        <v>0</v>
      </c>
      <c r="P28" s="59" t="str">
        <f>IF(A27=$D$8,XIRR(H$24:H27,C$24:C27),"")</f>
        <v/>
      </c>
      <c r="Q28" s="56" t="str">
        <f t="shared" si="13"/>
        <v/>
      </c>
      <c r="R28" s="56">
        <f t="shared" si="5"/>
        <v>16161.345395371342</v>
      </c>
      <c r="S28" s="21">
        <f t="shared" ca="1" si="6"/>
        <v>2025</v>
      </c>
      <c r="T28" s="21">
        <f t="shared" ca="1" si="7"/>
        <v>365</v>
      </c>
      <c r="U28" s="21">
        <f t="shared" ca="1" si="8"/>
        <v>10</v>
      </c>
      <c r="V28" s="60">
        <f t="shared" ca="1" si="9"/>
        <v>9</v>
      </c>
      <c r="W28" s="61">
        <f t="shared" ca="1" si="10"/>
        <v>22</v>
      </c>
    </row>
    <row r="29" spans="1:26" x14ac:dyDescent="0.25">
      <c r="A29" s="58">
        <f t="shared" si="1"/>
        <v>5</v>
      </c>
      <c r="B29" s="55">
        <f t="shared" ca="1" si="11"/>
        <v>45790</v>
      </c>
      <c r="C29" s="55">
        <f t="shared" ca="1" si="3"/>
        <v>45787</v>
      </c>
      <c r="D29" s="58">
        <f t="shared" ca="1" si="4"/>
        <v>30</v>
      </c>
      <c r="E29" s="56">
        <f t="shared" si="12"/>
        <v>480646.87128346908</v>
      </c>
      <c r="F29" s="56">
        <f>IF(A28=$D$8,SUM($F$24:F28),IF(A28&gt;$D$8+1,"",PPMT($D$9/12,A29,$D$8,-$D$6)))</f>
        <v>4063.7755026673517</v>
      </c>
      <c r="G29" s="56">
        <f>IF(A28=$D$8,SUM($G$24:G28),IF(A28&gt;$D$8+1,"",IPMT($D$9/12,A29,$D$8,-$D$6)))</f>
        <v>12097.56989270399</v>
      </c>
      <c r="H29" s="56">
        <f>IF(A28=$D$8,SUM($H$25:H28),IF(A28&gt;$D$8,"",F29+G29+O29))</f>
        <v>16161.345395371342</v>
      </c>
      <c r="I29" s="56" t="str">
        <f>IF(A29="",$I$24,"")</f>
        <v/>
      </c>
      <c r="J29" s="56" t="str">
        <f>IF(A29="",$J$24,"")</f>
        <v/>
      </c>
      <c r="K29" s="56" t="s">
        <v>144</v>
      </c>
      <c r="L29" s="56" t="str">
        <f>IF(A29="",$L$29,"")</f>
        <v/>
      </c>
      <c r="M29" s="56" t="s">
        <v>144</v>
      </c>
      <c r="N29" s="56" t="str">
        <f t="shared" ref="N29:N92" si="14">IF(A28=$D$8,$N$24,"")</f>
        <v/>
      </c>
      <c r="O29" s="56">
        <f>IF(A28=$D$8,SUM($O$25:O28),IF(A28&gt;$D$8," ",$N$5*$D$6))</f>
        <v>0</v>
      </c>
      <c r="P29" s="59" t="str">
        <f>IF(A28=$D$8,XIRR(H$24:H28,C$24:C28),"")</f>
        <v/>
      </c>
      <c r="Q29" s="56" t="str">
        <f t="shared" si="13"/>
        <v/>
      </c>
      <c r="R29" s="56">
        <f t="shared" si="5"/>
        <v>16161.345395371342</v>
      </c>
      <c r="S29" s="21">
        <f t="shared" ca="1" si="6"/>
        <v>2025</v>
      </c>
      <c r="T29" s="21">
        <f t="shared" ca="1" si="7"/>
        <v>365</v>
      </c>
      <c r="U29" s="21">
        <f t="shared" ca="1" si="8"/>
        <v>10</v>
      </c>
      <c r="V29" s="60">
        <f t="shared" ca="1" si="9"/>
        <v>9</v>
      </c>
      <c r="W29" s="61">
        <f t="shared" ca="1" si="10"/>
        <v>21</v>
      </c>
    </row>
    <row r="30" spans="1:26" x14ac:dyDescent="0.25">
      <c r="A30" s="58">
        <f t="shared" si="1"/>
        <v>6</v>
      </c>
      <c r="B30" s="55">
        <f t="shared" ca="1" si="11"/>
        <v>45821</v>
      </c>
      <c r="C30" s="55">
        <f t="shared" ca="1" si="3"/>
        <v>45818</v>
      </c>
      <c r="D30" s="58">
        <f t="shared" ca="1" si="4"/>
        <v>31</v>
      </c>
      <c r="E30" s="56">
        <f t="shared" si="12"/>
        <v>476481.67071721435</v>
      </c>
      <c r="F30" s="56">
        <f>IF(A29=$D$8,SUM($F$24:F29),IF(A29&gt;$D$8+1,"",PPMT($D$9/12,A30,$D$8,-$D$6)))</f>
        <v>4165.2005662547572</v>
      </c>
      <c r="G30" s="56">
        <f>IF(A29=$D$8,SUM($G$24:G29),IF(A29&gt;$D$8+1,"",IPMT($D$9/12,A30,$D$8,-$D$6)))</f>
        <v>11996.144829116582</v>
      </c>
      <c r="H30" s="56">
        <f>IF(A29=$D$8,SUM($H$25:H29),IF(A29&gt;$D$8,"",F30+G30+O30))</f>
        <v>16161.34539537134</v>
      </c>
      <c r="I30" s="56" t="str">
        <f t="shared" ref="I30:I37" si="15">IF(A30="",$I$24,"")</f>
        <v/>
      </c>
      <c r="J30" s="56" t="str">
        <f t="shared" ref="J30:J36" si="16">IF(A30="",$J$24,"")</f>
        <v/>
      </c>
      <c r="K30" s="56" t="s">
        <v>144</v>
      </c>
      <c r="L30" s="56" t="str">
        <f>IF(A30="",$L$24,"")</f>
        <v/>
      </c>
      <c r="M30" s="56" t="str">
        <f t="shared" ref="M30:M91" si="17">IF(A29=$D$8,$M$24,"")</f>
        <v/>
      </c>
      <c r="N30" s="56" t="str">
        <f t="shared" si="14"/>
        <v/>
      </c>
      <c r="O30" s="56">
        <f>IF(A29=$D$8,SUM($O$25:O29),IF(A29&gt;$D$8," ",$N$5*$D$6))</f>
        <v>0</v>
      </c>
      <c r="P30" s="59" t="str">
        <f>IF(A29=$D$8,XIRR(H$24:H29,C$24:C29),"")</f>
        <v/>
      </c>
      <c r="Q30" s="56" t="str">
        <f t="shared" si="13"/>
        <v/>
      </c>
      <c r="R30" s="56">
        <f t="shared" si="5"/>
        <v>16161.34539537134</v>
      </c>
      <c r="S30" s="21">
        <f t="shared" ca="1" si="6"/>
        <v>2025</v>
      </c>
      <c r="T30" s="21">
        <f t="shared" ca="1" si="7"/>
        <v>365</v>
      </c>
      <c r="U30" s="21">
        <f t="shared" ca="1" si="8"/>
        <v>10</v>
      </c>
      <c r="V30" s="60">
        <f t="shared" ca="1" si="9"/>
        <v>9</v>
      </c>
      <c r="W30" s="61">
        <f t="shared" ca="1" si="10"/>
        <v>22</v>
      </c>
    </row>
    <row r="31" spans="1:26" x14ac:dyDescent="0.25">
      <c r="A31" s="58">
        <f t="shared" si="1"/>
        <v>7</v>
      </c>
      <c r="B31" s="55">
        <f t="shared" ca="1" si="11"/>
        <v>45851</v>
      </c>
      <c r="C31" s="55">
        <f t="shared" ca="1" si="3"/>
        <v>45848</v>
      </c>
      <c r="D31" s="58">
        <f t="shared" ca="1" si="4"/>
        <v>30</v>
      </c>
      <c r="E31" s="56">
        <f t="shared" si="12"/>
        <v>472212.5136868268</v>
      </c>
      <c r="F31" s="56">
        <f>IF(A30=$D$8,SUM($F$24:F30),IF(A30&gt;$D$8+1,"",PPMT($D$9/12,A31,$D$8,-$D$6)))</f>
        <v>4269.1570303875314</v>
      </c>
      <c r="G31" s="56">
        <f>IF(A30=$D$8,SUM($G$24:G30),IF(A30&gt;$D$8+1,"",IPMT($D$9/12,A31,$D$8,-$D$6)))</f>
        <v>11892.188364983809</v>
      </c>
      <c r="H31" s="56">
        <f>IF(A30=$D$8,SUM($H$25:H30),IF(A30&gt;$D$8,"",F31+G31+O31))</f>
        <v>16161.34539537134</v>
      </c>
      <c r="I31" s="56" t="str">
        <f t="shared" si="15"/>
        <v/>
      </c>
      <c r="J31" s="56" t="str">
        <f t="shared" si="16"/>
        <v/>
      </c>
      <c r="K31" s="56" t="s">
        <v>144</v>
      </c>
      <c r="L31" s="56" t="str">
        <f t="shared" ref="L31:L37" si="18">IF(A31="",$L$24,"")</f>
        <v/>
      </c>
      <c r="M31" s="56" t="str">
        <f t="shared" si="17"/>
        <v/>
      </c>
      <c r="N31" s="56" t="str">
        <f t="shared" si="14"/>
        <v/>
      </c>
      <c r="O31" s="56">
        <f>IF(A30=$D$8,SUM($O$25:O30),IF(A30&gt;$D$8," ",$N$5*$D$6))</f>
        <v>0</v>
      </c>
      <c r="P31" s="59" t="str">
        <f>IF(A30=$D$8,XIRR(H$24:H30,C$24:C30),"")</f>
        <v/>
      </c>
      <c r="Q31" s="56" t="str">
        <f t="shared" si="13"/>
        <v/>
      </c>
      <c r="R31" s="56">
        <f t="shared" si="5"/>
        <v>16161.34539537134</v>
      </c>
      <c r="S31" s="21">
        <f t="shared" ca="1" si="6"/>
        <v>2025</v>
      </c>
      <c r="T31" s="21">
        <f t="shared" ca="1" si="7"/>
        <v>365</v>
      </c>
      <c r="U31" s="21">
        <f t="shared" ca="1" si="8"/>
        <v>10</v>
      </c>
      <c r="V31" s="60">
        <f t="shared" ca="1" si="9"/>
        <v>9</v>
      </c>
      <c r="W31" s="61">
        <f t="shared" ca="1" si="10"/>
        <v>21</v>
      </c>
    </row>
    <row r="32" spans="1:26" x14ac:dyDescent="0.25">
      <c r="A32" s="58">
        <f t="shared" si="1"/>
        <v>8</v>
      </c>
      <c r="B32" s="55">
        <f t="shared" ca="1" si="11"/>
        <v>45882</v>
      </c>
      <c r="C32" s="55">
        <f t="shared" ca="1" si="3"/>
        <v>45879</v>
      </c>
      <c r="D32" s="58">
        <f t="shared" ca="1" si="4"/>
        <v>31</v>
      </c>
      <c r="E32" s="56">
        <f t="shared" si="12"/>
        <v>467836.80561222252</v>
      </c>
      <c r="F32" s="56">
        <f>IF(A31=$D$8,SUM($F$24:F31),IF(A31&gt;$D$8+1,"",PPMT($D$9/12,A32,$D$8,-$D$6)))</f>
        <v>4375.7080746042875</v>
      </c>
      <c r="G32" s="56">
        <f>IF(A31=$D$8,SUM($G$24:G31),IF(A31&gt;$D$8+1,"",IPMT($D$9/12,A32,$D$8,-$D$6)))</f>
        <v>11785.637320767051</v>
      </c>
      <c r="H32" s="56">
        <f>IF(A31=$D$8,SUM($H$25:H31),IF(A31&gt;$D$8,"",F32+G32+O32))</f>
        <v>16161.34539537134</v>
      </c>
      <c r="I32" s="56" t="str">
        <f t="shared" si="15"/>
        <v/>
      </c>
      <c r="J32" s="56" t="str">
        <f t="shared" si="16"/>
        <v/>
      </c>
      <c r="K32" s="56" t="s">
        <v>144</v>
      </c>
      <c r="L32" s="56" t="str">
        <f t="shared" si="18"/>
        <v/>
      </c>
      <c r="M32" s="56" t="str">
        <f t="shared" si="17"/>
        <v/>
      </c>
      <c r="N32" s="56" t="str">
        <f t="shared" si="14"/>
        <v/>
      </c>
      <c r="O32" s="56">
        <f>IF(A31=$D$8,SUM($O$25:O31),IF(A31&gt;$D$8," ",$N$5*$D$6))</f>
        <v>0</v>
      </c>
      <c r="P32" s="59" t="str">
        <f>IF(A31=$D$8,XIRR(H$24:H31,C$24:C31),"")</f>
        <v/>
      </c>
      <c r="Q32" s="56" t="str">
        <f t="shared" si="13"/>
        <v/>
      </c>
      <c r="R32" s="56">
        <f t="shared" si="5"/>
        <v>16161.34539537134</v>
      </c>
      <c r="S32" s="21">
        <f t="shared" ca="1" si="6"/>
        <v>2025</v>
      </c>
      <c r="T32" s="21">
        <f t="shared" ca="1" si="7"/>
        <v>365</v>
      </c>
      <c r="U32" s="21">
        <f t="shared" ca="1" si="8"/>
        <v>10</v>
      </c>
      <c r="V32" s="60">
        <f t="shared" ca="1" si="9"/>
        <v>9</v>
      </c>
      <c r="W32" s="61">
        <f t="shared" ca="1" si="10"/>
        <v>22</v>
      </c>
    </row>
    <row r="33" spans="1:23" x14ac:dyDescent="0.25">
      <c r="A33" s="58">
        <f t="shared" si="1"/>
        <v>9</v>
      </c>
      <c r="B33" s="55">
        <f t="shared" ca="1" si="11"/>
        <v>45913</v>
      </c>
      <c r="C33" s="55">
        <f t="shared" ca="1" si="3"/>
        <v>45910</v>
      </c>
      <c r="D33" s="58">
        <f t="shared" ca="1" si="4"/>
        <v>31</v>
      </c>
      <c r="E33" s="56">
        <f t="shared" si="12"/>
        <v>463351.88715692289</v>
      </c>
      <c r="F33" s="56">
        <f>IF(A32=$D$8,SUM($F$24:F32),IF(A32&gt;$D$8+1,"",PPMT($D$9/12,A33,$D$8,-$D$6)))</f>
        <v>4484.9184552996203</v>
      </c>
      <c r="G33" s="56">
        <f>IF(A32=$D$8,SUM($G$24:G32),IF(A32&gt;$D$8+1,"",IPMT($D$9/12,A33,$D$8,-$D$6)))</f>
        <v>11676.426940071718</v>
      </c>
      <c r="H33" s="56">
        <f>IF(A32=$D$8,SUM($H$25:H32),IF(A32&gt;$D$8,"",F33+G33+O33))</f>
        <v>16161.34539537134</v>
      </c>
      <c r="I33" s="56" t="str">
        <f t="shared" si="15"/>
        <v/>
      </c>
      <c r="J33" s="56" t="str">
        <f t="shared" si="16"/>
        <v/>
      </c>
      <c r="K33" s="56" t="s">
        <v>144</v>
      </c>
      <c r="L33" s="56" t="str">
        <f t="shared" si="18"/>
        <v/>
      </c>
      <c r="M33" s="56" t="str">
        <f t="shared" si="17"/>
        <v/>
      </c>
      <c r="N33" s="56" t="str">
        <f t="shared" si="14"/>
        <v/>
      </c>
      <c r="O33" s="56">
        <f>IF(A32=$D$8,SUM($O$25:O32),IF(A32&gt;$D$8," ",$N$5*$D$6))</f>
        <v>0</v>
      </c>
      <c r="P33" s="59" t="str">
        <f>IF(A32=$D$8,XIRR(H$24:H32,C$24:C32),"")</f>
        <v/>
      </c>
      <c r="Q33" s="56" t="str">
        <f t="shared" si="13"/>
        <v/>
      </c>
      <c r="R33" s="56">
        <f t="shared" si="5"/>
        <v>16161.34539537134</v>
      </c>
      <c r="S33" s="21">
        <f t="shared" ca="1" si="6"/>
        <v>2025</v>
      </c>
      <c r="T33" s="21">
        <f t="shared" ca="1" si="7"/>
        <v>365</v>
      </c>
      <c r="U33" s="21">
        <f t="shared" ca="1" si="8"/>
        <v>10</v>
      </c>
      <c r="V33" s="60">
        <f t="shared" ca="1" si="9"/>
        <v>9</v>
      </c>
      <c r="W33" s="61">
        <f t="shared" ca="1" si="10"/>
        <v>22</v>
      </c>
    </row>
    <row r="34" spans="1:23" x14ac:dyDescent="0.25">
      <c r="A34" s="58">
        <f t="shared" si="1"/>
        <v>10</v>
      </c>
      <c r="B34" s="55">
        <f t="shared" ca="1" si="11"/>
        <v>45943</v>
      </c>
      <c r="C34" s="55">
        <f t="shared" ca="1" si="3"/>
        <v>45940</v>
      </c>
      <c r="D34" s="58">
        <f t="shared" ca="1" si="4"/>
        <v>30</v>
      </c>
      <c r="E34" s="56">
        <f t="shared" si="12"/>
        <v>458755.03261184308</v>
      </c>
      <c r="F34" s="56">
        <f>IF(A33=$D$8,SUM($F$24:F33),IF(A33&gt;$D$8+1,"",PPMT($D$9/12,A34,$D$8,-$D$6)))</f>
        <v>4596.8545450798065</v>
      </c>
      <c r="G34" s="56">
        <f>IF(A33=$D$8,SUM($G$24:G33),IF(A33&gt;$D$8+1,"",IPMT($D$9/12,A34,$D$8,-$D$6)))</f>
        <v>11564.490850291535</v>
      </c>
      <c r="H34" s="56">
        <f>IF(A33=$D$8,SUM($H$25:H33),IF(A33&gt;$D$8,"",F34+G34+O34))</f>
        <v>16161.345395371342</v>
      </c>
      <c r="I34" s="56" t="str">
        <f t="shared" si="15"/>
        <v/>
      </c>
      <c r="J34" s="56" t="str">
        <f t="shared" si="16"/>
        <v/>
      </c>
      <c r="K34" s="56" t="s">
        <v>144</v>
      </c>
      <c r="L34" s="56" t="str">
        <f t="shared" si="18"/>
        <v/>
      </c>
      <c r="M34" s="56" t="str">
        <f t="shared" si="17"/>
        <v/>
      </c>
      <c r="N34" s="56" t="str">
        <f t="shared" si="14"/>
        <v/>
      </c>
      <c r="O34" s="56">
        <f>IF(A33=$D$8,SUM($O$25:O33),IF(A33&gt;$D$8," ",$N$5*$D$6))</f>
        <v>0</v>
      </c>
      <c r="P34" s="59" t="str">
        <f>IF(A33=$D$8,XIRR(H$24:H33,C$24:C33),"")</f>
        <v/>
      </c>
      <c r="Q34" s="56" t="str">
        <f t="shared" si="13"/>
        <v/>
      </c>
      <c r="R34" s="56">
        <f t="shared" si="5"/>
        <v>16161.345395371342</v>
      </c>
      <c r="S34" s="21">
        <f t="shared" ca="1" si="6"/>
        <v>2025</v>
      </c>
      <c r="T34" s="21">
        <f t="shared" ca="1" si="7"/>
        <v>365</v>
      </c>
      <c r="U34" s="21">
        <f t="shared" ca="1" si="8"/>
        <v>10</v>
      </c>
      <c r="V34" s="60">
        <f t="shared" ca="1" si="9"/>
        <v>9</v>
      </c>
      <c r="W34" s="61">
        <f t="shared" ca="1" si="10"/>
        <v>21</v>
      </c>
    </row>
    <row r="35" spans="1:23" x14ac:dyDescent="0.25">
      <c r="A35" s="58">
        <f t="shared" si="1"/>
        <v>11</v>
      </c>
      <c r="B35" s="55">
        <f t="shared" ca="1" si="11"/>
        <v>45974</v>
      </c>
      <c r="C35" s="55">
        <f t="shared" ca="1" si="3"/>
        <v>45971</v>
      </c>
      <c r="D35" s="58">
        <f t="shared" ca="1" si="4"/>
        <v>31</v>
      </c>
      <c r="E35" s="56">
        <f t="shared" si="12"/>
        <v>454043.4482387423</v>
      </c>
      <c r="F35" s="56">
        <f>IF(A34=$D$8,SUM($F$24:F34),IF(A34&gt;$D$8+1,"",PPMT($D$9/12,A35,$D$8,-$D$6)))</f>
        <v>4711.5843731007553</v>
      </c>
      <c r="G35" s="56">
        <f>IF(A34=$D$8,SUM($G$24:G34),IF(A34&gt;$D$8+1,"",IPMT($D$9/12,A35,$D$8,-$D$6)))</f>
        <v>11449.761022270584</v>
      </c>
      <c r="H35" s="56">
        <f>IF(A34=$D$8,SUM($H$25:H34),IF(A34&gt;$D$8,"",F35+G35+O35))</f>
        <v>16161.34539537134</v>
      </c>
      <c r="I35" s="56" t="str">
        <f t="shared" si="15"/>
        <v/>
      </c>
      <c r="J35" s="56" t="str">
        <f t="shared" si="16"/>
        <v/>
      </c>
      <c r="K35" s="56" t="s">
        <v>144</v>
      </c>
      <c r="L35" s="56" t="str">
        <f t="shared" si="18"/>
        <v/>
      </c>
      <c r="M35" s="56" t="str">
        <f t="shared" si="17"/>
        <v/>
      </c>
      <c r="N35" s="56" t="str">
        <f t="shared" si="14"/>
        <v/>
      </c>
      <c r="O35" s="56">
        <f>IF(A34=$D$8,SUM($O$25:O34),IF(A34&gt;$D$8," ",$N$5*$D$6))</f>
        <v>0</v>
      </c>
      <c r="P35" s="59" t="str">
        <f>IF(A34=$D$8,XIRR(H$24:H34,C$24:C34),"")</f>
        <v/>
      </c>
      <c r="Q35" s="56" t="str">
        <f t="shared" si="13"/>
        <v/>
      </c>
      <c r="R35" s="56">
        <f t="shared" si="5"/>
        <v>16161.34539537134</v>
      </c>
      <c r="S35" s="21">
        <f t="shared" ca="1" si="6"/>
        <v>2025</v>
      </c>
      <c r="T35" s="21">
        <f t="shared" ca="1" si="7"/>
        <v>365</v>
      </c>
      <c r="U35" s="21">
        <f t="shared" ca="1" si="8"/>
        <v>10</v>
      </c>
      <c r="V35" s="60">
        <f t="shared" ca="1" si="9"/>
        <v>9</v>
      </c>
      <c r="W35" s="61">
        <f t="shared" ca="1" si="10"/>
        <v>22</v>
      </c>
    </row>
    <row r="36" spans="1:23" x14ac:dyDescent="0.25">
      <c r="A36" s="58">
        <f t="shared" si="1"/>
        <v>12</v>
      </c>
      <c r="B36" s="55">
        <f t="shared" ca="1" si="11"/>
        <v>46004</v>
      </c>
      <c r="C36" s="55">
        <f t="shared" ca="1" si="3"/>
        <v>46001</v>
      </c>
      <c r="D36" s="58">
        <f t="shared" ca="1" si="4"/>
        <v>30</v>
      </c>
      <c r="E36" s="56">
        <f t="shared" si="12"/>
        <v>449214.27057232958</v>
      </c>
      <c r="F36" s="56">
        <f>IF(A35=$D$8,SUM($F$24:F35),IF(A35&gt;$D$8+1,"",PPMT($D$9/12,A36,$D$8,-$D$6)))</f>
        <v>4829.1776664127301</v>
      </c>
      <c r="G36" s="56">
        <f>IF(A35=$D$8,SUM($G$24:G35),IF(A35&gt;$D$8+1,"",IPMT($D$9/12,A36,$D$8,-$D$6)))</f>
        <v>11332.16772895861</v>
      </c>
      <c r="H36" s="56">
        <f>IF(A35=$D$8,SUM($H$25:H35),IF(A35&gt;$D$8,"",F36+G36+O36))</f>
        <v>16161.34539537134</v>
      </c>
      <c r="I36" s="56" t="str">
        <f t="shared" si="15"/>
        <v/>
      </c>
      <c r="J36" s="56" t="str">
        <f t="shared" si="16"/>
        <v/>
      </c>
      <c r="K36" s="56" t="s">
        <v>144</v>
      </c>
      <c r="L36" s="56" t="str">
        <f t="shared" si="18"/>
        <v/>
      </c>
      <c r="M36" s="56" t="str">
        <f t="shared" si="17"/>
        <v/>
      </c>
      <c r="N36" s="56" t="str">
        <f t="shared" si="14"/>
        <v/>
      </c>
      <c r="O36" s="56">
        <f>IF(A35=$D$8,SUM($O$25:O35),IF(A35&gt;$D$8," ",$N$5*$D$6))</f>
        <v>0</v>
      </c>
      <c r="P36" s="59" t="str">
        <f>IF(A35=$D$8,XIRR(H$24:H35,C$24:C35),"")</f>
        <v/>
      </c>
      <c r="Q36" s="56" t="str">
        <f t="shared" si="13"/>
        <v/>
      </c>
      <c r="R36" s="56">
        <f t="shared" si="5"/>
        <v>16161.34539537134</v>
      </c>
      <c r="S36" s="21">
        <f t="shared" ca="1" si="6"/>
        <v>2025</v>
      </c>
      <c r="T36" s="21">
        <f t="shared" ca="1" si="7"/>
        <v>365</v>
      </c>
      <c r="U36" s="21">
        <f t="shared" ca="1" si="8"/>
        <v>10</v>
      </c>
      <c r="V36" s="60">
        <f t="shared" ca="1" si="9"/>
        <v>9</v>
      </c>
      <c r="W36" s="61">
        <f t="shared" ca="1" si="10"/>
        <v>21</v>
      </c>
    </row>
    <row r="37" spans="1:23" x14ac:dyDescent="0.25">
      <c r="A37" s="58">
        <f t="shared" si="1"/>
        <v>13</v>
      </c>
      <c r="B37" s="55">
        <f ca="1">IF(A37="","",EDATE($B$24,A37))</f>
        <v>46035</v>
      </c>
      <c r="C37" s="55">
        <f t="shared" ca="1" si="3"/>
        <v>46032</v>
      </c>
      <c r="D37" s="58">
        <f t="shared" ca="1" si="4"/>
        <v>31</v>
      </c>
      <c r="E37" s="56">
        <f t="shared" ref="E37:E100" si="19">IF(A37&gt;$D$8,"",E36-F37)</f>
        <v>444264.56467999262</v>
      </c>
      <c r="F37" s="56">
        <f>IF(A36=$D$8,SUM($F$24:F36),IF(A36&gt;$D$8+1,"",PPMT($D$9/12,A37,$D$8,-$D$6)))</f>
        <v>4949.7058923369477</v>
      </c>
      <c r="G37" s="56">
        <f>IF(A36=$D$8,SUM($G$24:G36),IF(A36&gt;$D$8+1,"",IPMT($D$9/12,A37,$D$8,-$D$6)))</f>
        <v>11211.639503034394</v>
      </c>
      <c r="H37" s="56">
        <f>IF(A36=$D$8,SUM($H$25:H36),IF(A36&gt;$D$8,"",F37+G37+O37))</f>
        <v>16161.345395371342</v>
      </c>
      <c r="I37" s="56" t="str">
        <f t="shared" si="15"/>
        <v/>
      </c>
      <c r="J37" s="56">
        <f>IF($D$8&gt;A36,$N$9,IF(A36=12,$J$24,SUM($J$24:J36)))</f>
        <v>0</v>
      </c>
      <c r="K37" s="56">
        <f>IF(D8&gt;12,(O8+$N$10*E36),IF($A$36=$D$8,K24,""))</f>
        <v>0</v>
      </c>
      <c r="L37" s="56" t="str">
        <f t="shared" si="18"/>
        <v/>
      </c>
      <c r="M37" s="56" t="str">
        <f t="shared" si="17"/>
        <v/>
      </c>
      <c r="N37" s="56" t="str">
        <f t="shared" si="14"/>
        <v/>
      </c>
      <c r="O37" s="56">
        <f>IF(A36=$D$8,SUM($O$25:O36),IF(A36&gt;$D$8," ",$N$5*$D$6))</f>
        <v>0</v>
      </c>
      <c r="P37" s="59" t="str">
        <f>IF(A36=$D$8,XIRR(H$24:H36,C$24:C36),"")</f>
        <v/>
      </c>
      <c r="Q37" s="56" t="str">
        <f t="shared" si="13"/>
        <v/>
      </c>
      <c r="R37" s="56">
        <f t="shared" si="5"/>
        <v>16161.345395371342</v>
      </c>
      <c r="S37" s="21">
        <f t="shared" ca="1" si="6"/>
        <v>2026</v>
      </c>
      <c r="T37" s="21">
        <f t="shared" ca="1" si="7"/>
        <v>365</v>
      </c>
      <c r="U37" s="21">
        <f t="shared" ca="1" si="8"/>
        <v>10</v>
      </c>
      <c r="V37" s="60">
        <f t="shared" ca="1" si="9"/>
        <v>9</v>
      </c>
      <c r="W37" s="61">
        <f t="shared" ca="1" si="10"/>
        <v>22</v>
      </c>
    </row>
    <row r="38" spans="1:23" x14ac:dyDescent="0.25">
      <c r="A38" s="58">
        <f t="shared" si="1"/>
        <v>14</v>
      </c>
      <c r="B38" s="55">
        <f t="shared" ref="B38:B101" ca="1" si="20">IF(A38="","",EDATE($B$24,A38))</f>
        <v>46066</v>
      </c>
      <c r="C38" s="55">
        <f t="shared" ca="1" si="3"/>
        <v>46063</v>
      </c>
      <c r="D38" s="58">
        <f t="shared" ca="1" si="4"/>
        <v>31</v>
      </c>
      <c r="E38" s="56">
        <f t="shared" si="19"/>
        <v>439191.32237809274</v>
      </c>
      <c r="F38" s="56">
        <f>IF(A37=$D$8,SUM($F$24:F37),IF(A37&gt;$D$8+1,"",PPMT($D$9/12,A38,$D$8,-$D$6)))</f>
        <v>5073.242301899857</v>
      </c>
      <c r="G38" s="56">
        <f>IF(A37=$D$8,SUM($G$24:G37),IF(A37&gt;$D$8+1,"",IPMT($D$9/12,A38,$D$8,-$D$6)))</f>
        <v>11088.103093471484</v>
      </c>
      <c r="H38" s="56">
        <f>IF(A37=$D$8,SUM($H$25:H37),IF(A37&gt;$D$8,"",F38+G38+O38))</f>
        <v>16161.34539537134</v>
      </c>
      <c r="I38" s="56" t="str">
        <f t="shared" ref="I38:I101" si="21">IF(A37=$D$8,$I$24,"")</f>
        <v/>
      </c>
      <c r="J38" s="56" t="str">
        <f t="shared" ref="J38:J84" si="22">IF(A37=$D$8,$J$24,"")</f>
        <v/>
      </c>
      <c r="K38" s="56" t="s">
        <v>144</v>
      </c>
      <c r="L38" s="56" t="str">
        <f t="shared" ref="L38:L101" si="23">IF(A37=$D$8,$L$24,"")</f>
        <v/>
      </c>
      <c r="M38" s="56" t="str">
        <f t="shared" si="17"/>
        <v/>
      </c>
      <c r="N38" s="56" t="str">
        <f t="shared" si="14"/>
        <v/>
      </c>
      <c r="O38" s="56">
        <f>IF(A37=$D$8,SUM($O$25:O37),IF(A37&gt;$D$8," ",$N$5*$D$6))</f>
        <v>0</v>
      </c>
      <c r="P38" s="59" t="str">
        <f>IF(A37=$D$8,XIRR(H$24:H37,C$24:C37),"")</f>
        <v/>
      </c>
      <c r="Q38" s="56" t="str">
        <f t="shared" si="13"/>
        <v/>
      </c>
      <c r="R38" s="56">
        <f t="shared" si="5"/>
        <v>16161.34539537134</v>
      </c>
      <c r="S38" s="21">
        <f t="shared" ca="1" si="6"/>
        <v>2026</v>
      </c>
      <c r="T38" s="21">
        <f t="shared" ca="1" si="7"/>
        <v>365</v>
      </c>
      <c r="U38" s="21">
        <f t="shared" ca="1" si="8"/>
        <v>10</v>
      </c>
      <c r="V38" s="60">
        <f t="shared" ca="1" si="9"/>
        <v>9</v>
      </c>
      <c r="W38" s="61">
        <f t="shared" ca="1" si="10"/>
        <v>22</v>
      </c>
    </row>
    <row r="39" spans="1:23" x14ac:dyDescent="0.25">
      <c r="A39" s="58">
        <f t="shared" si="1"/>
        <v>15</v>
      </c>
      <c r="B39" s="55">
        <f t="shared" ca="1" si="20"/>
        <v>46094</v>
      </c>
      <c r="C39" s="55">
        <f t="shared" ca="1" si="3"/>
        <v>46091</v>
      </c>
      <c r="D39" s="58">
        <f t="shared" ca="1" si="4"/>
        <v>28</v>
      </c>
      <c r="E39" s="56">
        <f t="shared" si="19"/>
        <v>433991.46040374128</v>
      </c>
      <c r="F39" s="56">
        <f>IF(A38=$D$8,SUM($F$24:F38),IF(A38&gt;$D$8+1,"",PPMT($D$9/12,A39,$D$8,-$D$6)))</f>
        <v>5199.8619743514409</v>
      </c>
      <c r="G39" s="56">
        <f>IF(A38=$D$8,SUM($G$24:G38),IF(A38&gt;$D$8+1,"",IPMT($D$9/12,A39,$D$8,-$D$6)))</f>
        <v>10961.483421019899</v>
      </c>
      <c r="H39" s="56">
        <f>IF(A38=$D$8,SUM($H$25:H38),IF(A38&gt;$D$8,"",F39+G39+O39))</f>
        <v>16161.34539537134</v>
      </c>
      <c r="I39" s="56" t="str">
        <f t="shared" si="21"/>
        <v/>
      </c>
      <c r="J39" s="56" t="str">
        <f t="shared" si="22"/>
        <v/>
      </c>
      <c r="K39" s="56" t="s">
        <v>144</v>
      </c>
      <c r="L39" s="56" t="str">
        <f t="shared" si="23"/>
        <v/>
      </c>
      <c r="M39" s="56" t="str">
        <f t="shared" si="17"/>
        <v/>
      </c>
      <c r="N39" s="56" t="str">
        <f t="shared" si="14"/>
        <v/>
      </c>
      <c r="O39" s="56">
        <f>IF(A38=$D$8,SUM($O$25:O38),IF(A38&gt;$D$8," ",$N$5*$D$6))</f>
        <v>0</v>
      </c>
      <c r="P39" s="59" t="str">
        <f>IF(A38=$D$8,XIRR(H$24:H38,C$24:C38),"")</f>
        <v/>
      </c>
      <c r="Q39" s="56" t="str">
        <f t="shared" si="13"/>
        <v/>
      </c>
      <c r="R39" s="56">
        <f t="shared" si="5"/>
        <v>16161.34539537134</v>
      </c>
      <c r="S39" s="21">
        <f t="shared" ca="1" si="6"/>
        <v>2026</v>
      </c>
      <c r="T39" s="21">
        <f t="shared" ca="1" si="7"/>
        <v>365</v>
      </c>
      <c r="U39" s="21">
        <f t="shared" ca="1" si="8"/>
        <v>10</v>
      </c>
      <c r="V39" s="60">
        <f t="shared" ca="1" si="9"/>
        <v>9</v>
      </c>
      <c r="W39" s="61">
        <f t="shared" ca="1" si="10"/>
        <v>19</v>
      </c>
    </row>
    <row r="40" spans="1:23" x14ac:dyDescent="0.25">
      <c r="A40" s="58">
        <f t="shared" si="1"/>
        <v>16</v>
      </c>
      <c r="B40" s="55">
        <f t="shared" ca="1" si="20"/>
        <v>46125</v>
      </c>
      <c r="C40" s="55">
        <f t="shared" ca="1" si="3"/>
        <v>46122</v>
      </c>
      <c r="D40" s="58">
        <f t="shared" ca="1" si="4"/>
        <v>31</v>
      </c>
      <c r="E40" s="56">
        <f t="shared" si="19"/>
        <v>428661.81854094664</v>
      </c>
      <c r="F40" s="56">
        <f>IF(A39=$D$8,SUM($F$24:F39),IF(A39&gt;$D$8+1,"",PPMT($D$9/12,A40,$D$8,-$D$6)))</f>
        <v>5329.6418627946296</v>
      </c>
      <c r="G40" s="56">
        <f>IF(A39=$D$8,SUM($G$24:G39),IF(A39&gt;$D$8+1,"",IPMT($D$9/12,A40,$D$8,-$D$6)))</f>
        <v>10831.703532576712</v>
      </c>
      <c r="H40" s="56">
        <f>IF(A39=$D$8,SUM($H$25:H39),IF(A39&gt;$D$8,"",F40+G40+O40))</f>
        <v>16161.345395371342</v>
      </c>
      <c r="I40" s="56" t="str">
        <f t="shared" si="21"/>
        <v/>
      </c>
      <c r="J40" s="56" t="str">
        <f t="shared" si="22"/>
        <v/>
      </c>
      <c r="K40" s="56" t="s">
        <v>144</v>
      </c>
      <c r="L40" s="56" t="str">
        <f t="shared" si="23"/>
        <v/>
      </c>
      <c r="M40" s="56" t="str">
        <f t="shared" si="17"/>
        <v/>
      </c>
      <c r="N40" s="56" t="str">
        <f t="shared" si="14"/>
        <v/>
      </c>
      <c r="O40" s="56">
        <f>IF(A39=$D$8,SUM($O$25:O39),IF(A39&gt;$D$8," ",$N$5*$D$6))</f>
        <v>0</v>
      </c>
      <c r="P40" s="59" t="str">
        <f>IF(A39=$D$8,XIRR(H$24:H39,C$24:C39),"")</f>
        <v/>
      </c>
      <c r="Q40" s="56" t="str">
        <f t="shared" si="13"/>
        <v/>
      </c>
      <c r="R40" s="56">
        <f t="shared" si="5"/>
        <v>16161.345395371342</v>
      </c>
      <c r="S40" s="21">
        <f t="shared" ca="1" si="6"/>
        <v>2026</v>
      </c>
      <c r="T40" s="21">
        <f t="shared" ca="1" si="7"/>
        <v>365</v>
      </c>
      <c r="U40" s="21">
        <f t="shared" ca="1" si="8"/>
        <v>10</v>
      </c>
      <c r="V40" s="60">
        <f t="shared" ca="1" si="9"/>
        <v>9</v>
      </c>
      <c r="W40" s="61">
        <f t="shared" ca="1" si="10"/>
        <v>22</v>
      </c>
    </row>
    <row r="41" spans="1:23" x14ac:dyDescent="0.25">
      <c r="A41" s="58">
        <f t="shared" si="1"/>
        <v>17</v>
      </c>
      <c r="B41" s="55">
        <f t="shared" ca="1" si="20"/>
        <v>46155</v>
      </c>
      <c r="C41" s="55">
        <f t="shared" ca="1" si="3"/>
        <v>46152</v>
      </c>
      <c r="D41" s="58">
        <f t="shared" ca="1" si="4"/>
        <v>30</v>
      </c>
      <c r="E41" s="56">
        <f t="shared" si="19"/>
        <v>423199.15769999311</v>
      </c>
      <c r="F41" s="56">
        <f>IF(A40=$D$8,SUM($F$24:F40),IF(A40&gt;$D$8+1,"",PPMT($D$9/12,A41,$D$8,-$D$6)))</f>
        <v>5462.6608409535447</v>
      </c>
      <c r="G41" s="56">
        <f>IF(A40=$D$8,SUM($G$24:G40),IF(A40&gt;$D$8+1,"",IPMT($D$9/12,A41,$D$8,-$D$6)))</f>
        <v>10698.684554417796</v>
      </c>
      <c r="H41" s="56">
        <f>IF(A40=$D$8,SUM($H$25:H40),IF(A40&gt;$D$8,"",F41+G41+O41))</f>
        <v>16161.34539537134</v>
      </c>
      <c r="I41" s="56" t="str">
        <f t="shared" si="21"/>
        <v/>
      </c>
      <c r="J41" s="56" t="str">
        <f t="shared" si="22"/>
        <v/>
      </c>
      <c r="K41" s="56" t="s">
        <v>144</v>
      </c>
      <c r="L41" s="56" t="str">
        <f t="shared" si="23"/>
        <v/>
      </c>
      <c r="M41" s="56" t="str">
        <f t="shared" si="17"/>
        <v/>
      </c>
      <c r="N41" s="56" t="str">
        <f t="shared" si="14"/>
        <v/>
      </c>
      <c r="O41" s="56">
        <f>IF(A40=$D$8,SUM($O$25:O40),IF(A40&gt;$D$8," ",$N$5*$D$6))</f>
        <v>0</v>
      </c>
      <c r="P41" s="59" t="str">
        <f>IF(A40=$D$8,XIRR(H$24:H40,C$24:C40),"")</f>
        <v/>
      </c>
      <c r="Q41" s="56" t="str">
        <f t="shared" si="13"/>
        <v/>
      </c>
      <c r="R41" s="56">
        <f t="shared" si="5"/>
        <v>16161.34539537134</v>
      </c>
      <c r="S41" s="21">
        <f t="shared" ca="1" si="6"/>
        <v>2026</v>
      </c>
      <c r="T41" s="21">
        <f t="shared" ca="1" si="7"/>
        <v>365</v>
      </c>
      <c r="U41" s="21">
        <f t="shared" ca="1" si="8"/>
        <v>10</v>
      </c>
      <c r="V41" s="60">
        <f t="shared" ca="1" si="9"/>
        <v>9</v>
      </c>
      <c r="W41" s="61">
        <f t="shared" ca="1" si="10"/>
        <v>21</v>
      </c>
    </row>
    <row r="42" spans="1:23" x14ac:dyDescent="0.25">
      <c r="A42" s="58">
        <f t="shared" si="1"/>
        <v>18</v>
      </c>
      <c r="B42" s="55">
        <f t="shared" ca="1" si="20"/>
        <v>46186</v>
      </c>
      <c r="C42" s="55">
        <f t="shared" ca="1" si="3"/>
        <v>46183</v>
      </c>
      <c r="D42" s="58">
        <f t="shared" ca="1" si="4"/>
        <v>31</v>
      </c>
      <c r="E42" s="56">
        <f t="shared" si="19"/>
        <v>417600.15794888412</v>
      </c>
      <c r="F42" s="56">
        <f>IF(A41=$D$8,SUM($F$24:F41),IF(A41&gt;$D$8+1,"",PPMT($D$9/12,A42,$D$8,-$D$6)))</f>
        <v>5598.9997511090105</v>
      </c>
      <c r="G42" s="56">
        <f>IF(A41=$D$8,SUM($G$24:G41),IF(A41&gt;$D$8+1,"",IPMT($D$9/12,A42,$D$8,-$D$6)))</f>
        <v>10562.34564426233</v>
      </c>
      <c r="H42" s="56">
        <f>IF(A41=$D$8,SUM($H$25:H41),IF(A41&gt;$D$8,"",F42+G42+O42))</f>
        <v>16161.34539537134</v>
      </c>
      <c r="I42" s="56" t="str">
        <f t="shared" si="21"/>
        <v/>
      </c>
      <c r="J42" s="56" t="str">
        <f t="shared" si="22"/>
        <v/>
      </c>
      <c r="K42" s="56" t="s">
        <v>144</v>
      </c>
      <c r="L42" s="56" t="str">
        <f t="shared" si="23"/>
        <v/>
      </c>
      <c r="M42" s="56" t="str">
        <f t="shared" si="17"/>
        <v/>
      </c>
      <c r="N42" s="56" t="str">
        <f t="shared" si="14"/>
        <v/>
      </c>
      <c r="O42" s="56">
        <f>IF(A41=$D$8,SUM($O$25:O41),IF(A41&gt;$D$8," ",$N$5*$D$6))</f>
        <v>0</v>
      </c>
      <c r="P42" s="59" t="str">
        <f>IF(A41=$D$8,XIRR(H$24:H41,C$24:C41),"")</f>
        <v/>
      </c>
      <c r="Q42" s="56" t="str">
        <f t="shared" si="13"/>
        <v/>
      </c>
      <c r="R42" s="56">
        <f t="shared" si="5"/>
        <v>16161.34539537134</v>
      </c>
      <c r="S42" s="21">
        <f t="shared" ca="1" si="6"/>
        <v>2026</v>
      </c>
      <c r="T42" s="21">
        <f t="shared" ca="1" si="7"/>
        <v>365</v>
      </c>
      <c r="U42" s="21">
        <f t="shared" ca="1" si="8"/>
        <v>10</v>
      </c>
      <c r="V42" s="60">
        <f t="shared" ca="1" si="9"/>
        <v>9</v>
      </c>
      <c r="W42" s="61">
        <f t="shared" ca="1" si="10"/>
        <v>22</v>
      </c>
    </row>
    <row r="43" spans="1:23" x14ac:dyDescent="0.25">
      <c r="A43" s="58">
        <f t="shared" si="1"/>
        <v>19</v>
      </c>
      <c r="B43" s="55">
        <f t="shared" ca="1" si="20"/>
        <v>46216</v>
      </c>
      <c r="C43" s="55">
        <f t="shared" ca="1" si="3"/>
        <v>46213</v>
      </c>
      <c r="D43" s="58">
        <f t="shared" ca="1" si="4"/>
        <v>30</v>
      </c>
      <c r="E43" s="56">
        <f t="shared" si="19"/>
        <v>411861.41649565368</v>
      </c>
      <c r="F43" s="56">
        <f>IF(A42=$D$8,SUM($F$24:F42),IF(A42&gt;$D$8+1,"",PPMT($D$9/12,A43,$D$8,-$D$6)))</f>
        <v>5738.7414532304392</v>
      </c>
      <c r="G43" s="56">
        <f>IF(A42=$D$8,SUM($G$24:G42),IF(A42&gt;$D$8+1,"",IPMT($D$9/12,A43,$D$8,-$D$6)))</f>
        <v>10422.603942140902</v>
      </c>
      <c r="H43" s="56">
        <f>IF(A42=$D$8,SUM($H$25:H42),IF(A42&gt;$D$8,"",F43+G43+O43))</f>
        <v>16161.345395371342</v>
      </c>
      <c r="I43" s="56" t="str">
        <f t="shared" si="21"/>
        <v/>
      </c>
      <c r="J43" s="56" t="str">
        <f t="shared" si="22"/>
        <v/>
      </c>
      <c r="K43" s="56" t="s">
        <v>144</v>
      </c>
      <c r="L43" s="56" t="str">
        <f t="shared" si="23"/>
        <v/>
      </c>
      <c r="M43" s="56" t="str">
        <f t="shared" si="17"/>
        <v/>
      </c>
      <c r="N43" s="56" t="str">
        <f t="shared" si="14"/>
        <v/>
      </c>
      <c r="O43" s="56">
        <f>IF(A42=$D$8,SUM($O$25:O42),IF(A42&gt;$D$8," ",$N$5*$D$6))</f>
        <v>0</v>
      </c>
      <c r="P43" s="59" t="str">
        <f>IF(A42=$D$8,XIRR(H$24:H42,C$24:C42),"")</f>
        <v/>
      </c>
      <c r="Q43" s="56" t="str">
        <f t="shared" si="13"/>
        <v/>
      </c>
      <c r="R43" s="56">
        <f t="shared" si="5"/>
        <v>16161.345395371342</v>
      </c>
      <c r="S43" s="21">
        <f t="shared" ca="1" si="6"/>
        <v>2026</v>
      </c>
      <c r="T43" s="21">
        <f t="shared" ca="1" si="7"/>
        <v>365</v>
      </c>
      <c r="U43" s="21">
        <f t="shared" ca="1" si="8"/>
        <v>10</v>
      </c>
      <c r="V43" s="60">
        <f t="shared" ca="1" si="9"/>
        <v>9</v>
      </c>
      <c r="W43" s="61">
        <f t="shared" ca="1" si="10"/>
        <v>21</v>
      </c>
    </row>
    <row r="44" spans="1:23" x14ac:dyDescent="0.25">
      <c r="A44" s="58">
        <f t="shared" si="1"/>
        <v>20</v>
      </c>
      <c r="B44" s="55">
        <f t="shared" ca="1" si="20"/>
        <v>46247</v>
      </c>
      <c r="C44" s="55">
        <f t="shared" ca="1" si="3"/>
        <v>46244</v>
      </c>
      <c r="D44" s="58">
        <f t="shared" ca="1" si="4"/>
        <v>31</v>
      </c>
      <c r="E44" s="56">
        <f t="shared" si="19"/>
        <v>405979.44562031969</v>
      </c>
      <c r="F44" s="56">
        <f>IF(A43=$D$8,SUM($F$24:F43),IF(A43&gt;$D$8+1,"",PPMT($D$9/12,A44,$D$8,-$D$6)))</f>
        <v>5881.9708753339819</v>
      </c>
      <c r="G44" s="56">
        <f>IF(A43=$D$8,SUM($G$24:G43),IF(A43&gt;$D$8+1,"",IPMT($D$9/12,A44,$D$8,-$D$6)))</f>
        <v>10279.37452003736</v>
      </c>
      <c r="H44" s="56">
        <f>IF(A43=$D$8,SUM($H$25:H43),IF(A43&gt;$D$8,"",F44+G44+O44))</f>
        <v>16161.345395371342</v>
      </c>
      <c r="I44" s="56" t="str">
        <f t="shared" si="21"/>
        <v/>
      </c>
      <c r="J44" s="56" t="str">
        <f t="shared" si="22"/>
        <v/>
      </c>
      <c r="K44" s="56" t="s">
        <v>144</v>
      </c>
      <c r="L44" s="56" t="str">
        <f t="shared" si="23"/>
        <v/>
      </c>
      <c r="M44" s="56" t="str">
        <f t="shared" si="17"/>
        <v/>
      </c>
      <c r="N44" s="56" t="str">
        <f t="shared" si="14"/>
        <v/>
      </c>
      <c r="O44" s="56">
        <f>IF(A43=$D$8,SUM($O$25:O43),IF(A43&gt;$D$8," ",$N$5*$D$6))</f>
        <v>0</v>
      </c>
      <c r="P44" s="59" t="str">
        <f>IF(A43=$D$8,XIRR(H$24:H43,C$24:C43),"")</f>
        <v/>
      </c>
      <c r="Q44" s="56" t="str">
        <f t="shared" si="13"/>
        <v/>
      </c>
      <c r="R44" s="56">
        <f t="shared" si="5"/>
        <v>16161.345395371342</v>
      </c>
      <c r="S44" s="21">
        <f t="shared" ca="1" si="6"/>
        <v>2026</v>
      </c>
      <c r="T44" s="21">
        <f t="shared" ca="1" si="7"/>
        <v>365</v>
      </c>
      <c r="U44" s="21">
        <f t="shared" ca="1" si="8"/>
        <v>10</v>
      </c>
      <c r="V44" s="60">
        <f t="shared" ca="1" si="9"/>
        <v>9</v>
      </c>
      <c r="W44" s="61">
        <f t="shared" ca="1" si="10"/>
        <v>22</v>
      </c>
    </row>
    <row r="45" spans="1:23" x14ac:dyDescent="0.25">
      <c r="A45" s="58">
        <f t="shared" si="1"/>
        <v>21</v>
      </c>
      <c r="B45" s="55">
        <f t="shared" ca="1" si="20"/>
        <v>46278</v>
      </c>
      <c r="C45" s="55">
        <f t="shared" ca="1" si="3"/>
        <v>46275</v>
      </c>
      <c r="D45" s="58">
        <f t="shared" ca="1" si="4"/>
        <v>31</v>
      </c>
      <c r="E45" s="56">
        <f t="shared" si="19"/>
        <v>399950.67055522214</v>
      </c>
      <c r="F45" s="56">
        <f>IF(A44=$D$8,SUM($F$24:F44),IF(A44&gt;$D$8+1,"",PPMT($D$9/12,A45,$D$8,-$D$6)))</f>
        <v>6028.7750650975258</v>
      </c>
      <c r="G45" s="56">
        <f>IF(A44=$D$8,SUM($G$24:G44),IF(A44&gt;$D$8+1,"",IPMT($D$9/12,A45,$D$8,-$D$6)))</f>
        <v>10132.570330273815</v>
      </c>
      <c r="H45" s="56">
        <f>IF(A44=$D$8,SUM($H$25:H44),IF(A44&gt;$D$8,"",F45+G45+O45))</f>
        <v>16161.34539537134</v>
      </c>
      <c r="I45" s="56" t="str">
        <f t="shared" si="21"/>
        <v/>
      </c>
      <c r="J45" s="56" t="str">
        <f t="shared" si="22"/>
        <v/>
      </c>
      <c r="K45" s="56" t="s">
        <v>144</v>
      </c>
      <c r="L45" s="56" t="str">
        <f t="shared" si="23"/>
        <v/>
      </c>
      <c r="M45" s="56" t="str">
        <f t="shared" si="17"/>
        <v/>
      </c>
      <c r="N45" s="56" t="str">
        <f t="shared" si="14"/>
        <v/>
      </c>
      <c r="O45" s="56">
        <f>IF(A44=$D$8,SUM($O$25:O44),IF(A44&gt;$D$8," ",$N$5*$D$6))</f>
        <v>0</v>
      </c>
      <c r="P45" s="59" t="str">
        <f>IF(A44=$D$8,XIRR(H$24:H44,C$24:C44),"")</f>
        <v/>
      </c>
      <c r="Q45" s="56" t="str">
        <f t="shared" si="13"/>
        <v/>
      </c>
      <c r="R45" s="56">
        <f t="shared" si="5"/>
        <v>16161.34539537134</v>
      </c>
      <c r="S45" s="21">
        <f t="shared" ca="1" si="6"/>
        <v>2026</v>
      </c>
      <c r="T45" s="21">
        <f t="shared" ca="1" si="7"/>
        <v>365</v>
      </c>
      <c r="U45" s="21">
        <f t="shared" ca="1" si="8"/>
        <v>10</v>
      </c>
      <c r="V45" s="60">
        <f t="shared" ca="1" si="9"/>
        <v>9</v>
      </c>
      <c r="W45" s="61">
        <f t="shared" ca="1" si="10"/>
        <v>22</v>
      </c>
    </row>
    <row r="46" spans="1:23" x14ac:dyDescent="0.25">
      <c r="A46" s="58">
        <f t="shared" si="1"/>
        <v>22</v>
      </c>
      <c r="B46" s="55">
        <f t="shared" ca="1" si="20"/>
        <v>46308</v>
      </c>
      <c r="C46" s="55">
        <f t="shared" ca="1" si="3"/>
        <v>46305</v>
      </c>
      <c r="D46" s="58">
        <f t="shared" ca="1" si="4"/>
        <v>30</v>
      </c>
      <c r="E46" s="56">
        <f t="shared" si="19"/>
        <v>393771.42731245823</v>
      </c>
      <c r="F46" s="56">
        <f>IF(A45=$D$8,SUM($F$24:F45),IF(A45&gt;$D$8+1,"",PPMT($D$9/12,A46,$D$8,-$D$6)))</f>
        <v>6179.2432427639187</v>
      </c>
      <c r="G46" s="56">
        <f>IF(A45=$D$8,SUM($G$24:G45),IF(A45&gt;$D$8+1,"",IPMT($D$9/12,A46,$D$8,-$D$6)))</f>
        <v>9982.1021526074219</v>
      </c>
      <c r="H46" s="56">
        <f>IF(A45=$D$8,SUM($H$25:H45),IF(A45&gt;$D$8,"",F46+G46+O46))</f>
        <v>16161.34539537134</v>
      </c>
      <c r="I46" s="56" t="str">
        <f t="shared" si="21"/>
        <v/>
      </c>
      <c r="J46" s="56" t="str">
        <f t="shared" si="22"/>
        <v/>
      </c>
      <c r="K46" s="56" t="s">
        <v>144</v>
      </c>
      <c r="L46" s="56" t="str">
        <f t="shared" si="23"/>
        <v/>
      </c>
      <c r="M46" s="56" t="str">
        <f t="shared" si="17"/>
        <v/>
      </c>
      <c r="N46" s="56" t="str">
        <f t="shared" si="14"/>
        <v/>
      </c>
      <c r="O46" s="56">
        <f>IF(A45=$D$8,SUM($O$25:O45),IF(A45&gt;$D$8," ",$N$5*$D$6))</f>
        <v>0</v>
      </c>
      <c r="P46" s="59" t="str">
        <f>IF(A45=$D$8,XIRR(H$24:H45,C$24:C45),"")</f>
        <v/>
      </c>
      <c r="Q46" s="56" t="str">
        <f t="shared" si="13"/>
        <v/>
      </c>
      <c r="R46" s="56">
        <f t="shared" si="5"/>
        <v>16161.34539537134</v>
      </c>
      <c r="S46" s="21">
        <f t="shared" ca="1" si="6"/>
        <v>2026</v>
      </c>
      <c r="T46" s="21">
        <f t="shared" ca="1" si="7"/>
        <v>365</v>
      </c>
      <c r="U46" s="21">
        <f t="shared" ca="1" si="8"/>
        <v>10</v>
      </c>
      <c r="V46" s="60">
        <f t="shared" ca="1" si="9"/>
        <v>9</v>
      </c>
      <c r="W46" s="61">
        <f t="shared" ca="1" si="10"/>
        <v>21</v>
      </c>
    </row>
    <row r="47" spans="1:23" x14ac:dyDescent="0.25">
      <c r="A47" s="58">
        <f t="shared" si="1"/>
        <v>23</v>
      </c>
      <c r="B47" s="55">
        <f t="shared" ca="1" si="20"/>
        <v>46339</v>
      </c>
      <c r="C47" s="55">
        <f t="shared" ca="1" si="3"/>
        <v>46336</v>
      </c>
      <c r="D47" s="58">
        <f t="shared" ca="1" si="4"/>
        <v>31</v>
      </c>
      <c r="E47" s="56">
        <f t="shared" si="19"/>
        <v>387437.96045709366</v>
      </c>
      <c r="F47" s="56">
        <f>IF(A46=$D$8,SUM($F$24:F46),IF(A46&gt;$D$8+1,"",PPMT($D$9/12,A47,$D$8,-$D$6)))</f>
        <v>6333.4668553645679</v>
      </c>
      <c r="G47" s="56">
        <f>IF(A46=$D$8,SUM($G$24:G46),IF(A46&gt;$D$8+1,"",IPMT($D$9/12,A47,$D$8,-$D$6)))</f>
        <v>9827.8785400067718</v>
      </c>
      <c r="H47" s="56">
        <f>IF(A46=$D$8,SUM($H$25:H46),IF(A46&gt;$D$8,"",F47+G47+O47))</f>
        <v>16161.34539537134</v>
      </c>
      <c r="I47" s="56" t="str">
        <f t="shared" si="21"/>
        <v/>
      </c>
      <c r="J47" s="56" t="str">
        <f t="shared" si="22"/>
        <v/>
      </c>
      <c r="K47" s="56" t="s">
        <v>144</v>
      </c>
      <c r="L47" s="56" t="str">
        <f t="shared" si="23"/>
        <v/>
      </c>
      <c r="M47" s="56" t="str">
        <f t="shared" si="17"/>
        <v/>
      </c>
      <c r="N47" s="56" t="str">
        <f t="shared" si="14"/>
        <v/>
      </c>
      <c r="O47" s="56">
        <f>IF(A46=$D$8,SUM($O$25:O46),IF(A46&gt;$D$8," ",$N$5*$D$6))</f>
        <v>0</v>
      </c>
      <c r="P47" s="59" t="str">
        <f>IF(A46=$D$8,XIRR(H$24:H46,C$24:C46),"")</f>
        <v/>
      </c>
      <c r="Q47" s="56" t="str">
        <f t="shared" si="13"/>
        <v/>
      </c>
      <c r="R47" s="56">
        <f t="shared" si="5"/>
        <v>16161.34539537134</v>
      </c>
      <c r="S47" s="21">
        <f t="shared" ca="1" si="6"/>
        <v>2026</v>
      </c>
      <c r="T47" s="21">
        <f t="shared" ca="1" si="7"/>
        <v>365</v>
      </c>
      <c r="U47" s="21">
        <f t="shared" ca="1" si="8"/>
        <v>10</v>
      </c>
      <c r="V47" s="60">
        <f t="shared" ca="1" si="9"/>
        <v>9</v>
      </c>
      <c r="W47" s="61">
        <f t="shared" ca="1" si="10"/>
        <v>22</v>
      </c>
    </row>
    <row r="48" spans="1:23" x14ac:dyDescent="0.25">
      <c r="A48" s="58">
        <f t="shared" si="1"/>
        <v>24</v>
      </c>
      <c r="B48" s="55">
        <f t="shared" ca="1" si="20"/>
        <v>46369</v>
      </c>
      <c r="C48" s="55">
        <f t="shared" ca="1" si="3"/>
        <v>46366</v>
      </c>
      <c r="D48" s="58">
        <f t="shared" ca="1" si="4"/>
        <v>30</v>
      </c>
      <c r="E48" s="56">
        <f t="shared" si="19"/>
        <v>380946.4208247973</v>
      </c>
      <c r="F48" s="56">
        <f>IF(A47=$D$8,SUM($F$24:F47),IF(A47&gt;$D$8+1,"",PPMT($D$9/12,A48,$D$8,-$D$6)))</f>
        <v>6491.5396322963761</v>
      </c>
      <c r="G48" s="56">
        <f>IF(A47=$D$8,SUM($G$24:G47),IF(A47&gt;$D$8+1,"",IPMT($D$9/12,A48,$D$8,-$D$6)))</f>
        <v>9669.8057630749645</v>
      </c>
      <c r="H48" s="56">
        <f>IF(A47=$D$8,SUM($H$25:H47),IF(A47&gt;$D$8,"",F48+G48+O48))</f>
        <v>16161.34539537134</v>
      </c>
      <c r="I48" s="56" t="str">
        <f t="shared" si="21"/>
        <v/>
      </c>
      <c r="J48" s="56" t="str">
        <f t="shared" si="22"/>
        <v/>
      </c>
      <c r="K48" s="56" t="s">
        <v>144</v>
      </c>
      <c r="L48" s="56" t="str">
        <f t="shared" si="23"/>
        <v/>
      </c>
      <c r="M48" s="56" t="str">
        <f t="shared" si="17"/>
        <v/>
      </c>
      <c r="N48" s="56" t="str">
        <f t="shared" si="14"/>
        <v/>
      </c>
      <c r="O48" s="56">
        <f>IF(A47=$D$8,SUM($O$25:O47),IF(A47&gt;$D$8," ",$N$5*$D$6))</f>
        <v>0</v>
      </c>
      <c r="P48" s="59" t="str">
        <f>IF(A47=$D$8,XIRR(H$24:H47,C$24:C47),"")</f>
        <v/>
      </c>
      <c r="Q48" s="56" t="str">
        <f t="shared" si="13"/>
        <v/>
      </c>
      <c r="R48" s="56">
        <f t="shared" si="5"/>
        <v>16161.34539537134</v>
      </c>
      <c r="S48" s="21">
        <f t="shared" ca="1" si="6"/>
        <v>2026</v>
      </c>
      <c r="T48" s="21">
        <f t="shared" ca="1" si="7"/>
        <v>365</v>
      </c>
      <c r="U48" s="21">
        <f t="shared" ca="1" si="8"/>
        <v>10</v>
      </c>
      <c r="V48" s="60">
        <f t="shared" ca="1" si="9"/>
        <v>9</v>
      </c>
      <c r="W48" s="61">
        <f t="shared" ca="1" si="10"/>
        <v>21</v>
      </c>
    </row>
    <row r="49" spans="1:23" x14ac:dyDescent="0.25">
      <c r="A49" s="58">
        <f t="shared" si="1"/>
        <v>25</v>
      </c>
      <c r="B49" s="55">
        <f t="shared" ca="1" si="20"/>
        <v>46400</v>
      </c>
      <c r="C49" s="55">
        <f t="shared" ca="1" si="3"/>
        <v>46397</v>
      </c>
      <c r="D49" s="58">
        <f t="shared" ca="1" si="4"/>
        <v>31</v>
      </c>
      <c r="E49" s="56">
        <f t="shared" si="19"/>
        <v>374292.86318251153</v>
      </c>
      <c r="F49" s="56">
        <f>IF(A48=$D$8,SUM($F$24:F48),IF(A48&gt;$D$8+1,"",PPMT($D$9/12,A49,$D$8,-$D$6)))</f>
        <v>6653.5576422857721</v>
      </c>
      <c r="G49" s="56">
        <f>IF(A48=$D$8,SUM($G$24:G48),IF(A48&gt;$D$8+1,"",IPMT($D$9/12,A49,$D$8,-$D$6)))</f>
        <v>9507.7877530855676</v>
      </c>
      <c r="H49" s="56">
        <f>IF(A48=$D$8,SUM($H$25:H48),IF(A48&gt;$D$8,"",F49+G49+O49))</f>
        <v>16161.34539537134</v>
      </c>
      <c r="I49" s="56" t="str">
        <f t="shared" si="21"/>
        <v/>
      </c>
      <c r="J49" s="56">
        <f>IF($D$8&gt;A48,$N$9,IF(A48=24,SUM($J$24:J48)," "))</f>
        <v>0</v>
      </c>
      <c r="K49" s="56">
        <f>IF($D$8&gt;24,($O$8+$N$10*E48),IF($A$48=$D$8,$K$37+$K$24,""))</f>
        <v>0</v>
      </c>
      <c r="L49" s="56" t="str">
        <f t="shared" si="23"/>
        <v/>
      </c>
      <c r="M49" s="56" t="str">
        <f t="shared" si="17"/>
        <v/>
      </c>
      <c r="N49" s="56" t="str">
        <f t="shared" si="14"/>
        <v/>
      </c>
      <c r="O49" s="56">
        <f>IF(A48=$D$8,SUM($O$25:O48),IF(A48&gt;$D$8," ",$N$5*$D$6))</f>
        <v>0</v>
      </c>
      <c r="P49" s="59" t="str">
        <f>IF(A48=$D$8,XIRR(H$24:H48,C$24:C48),"")</f>
        <v/>
      </c>
      <c r="Q49" s="56" t="str">
        <f t="shared" si="13"/>
        <v/>
      </c>
      <c r="R49" s="56">
        <f t="shared" si="5"/>
        <v>16161.34539537134</v>
      </c>
      <c r="S49" s="21">
        <f t="shared" ca="1" si="6"/>
        <v>2027</v>
      </c>
      <c r="T49" s="21">
        <f t="shared" ca="1" si="7"/>
        <v>365</v>
      </c>
      <c r="U49" s="21">
        <f t="shared" ca="1" si="8"/>
        <v>10</v>
      </c>
      <c r="V49" s="60">
        <f t="shared" ca="1" si="9"/>
        <v>9</v>
      </c>
      <c r="W49" s="61">
        <f t="shared" ca="1" si="10"/>
        <v>22</v>
      </c>
    </row>
    <row r="50" spans="1:23" x14ac:dyDescent="0.25">
      <c r="A50" s="58">
        <f t="shared" si="1"/>
        <v>26</v>
      </c>
      <c r="B50" s="55">
        <f t="shared" ca="1" si="20"/>
        <v>46431</v>
      </c>
      <c r="C50" s="55">
        <f t="shared" ca="1" si="3"/>
        <v>46428</v>
      </c>
      <c r="D50" s="58">
        <f t="shared" ca="1" si="4"/>
        <v>31</v>
      </c>
      <c r="E50" s="56">
        <f t="shared" si="19"/>
        <v>367473.24383073702</v>
      </c>
      <c r="F50" s="56">
        <f>IF(A49=$D$8,SUM($F$24:F49),IF(A49&gt;$D$8+1,"",PPMT($D$9/12,A50,$D$8,-$D$6)))</f>
        <v>6819.6193517744887</v>
      </c>
      <c r="G50" s="56">
        <f>IF(A49=$D$8,SUM($G$24:G49),IF(A49&gt;$D$8+1,"",IPMT($D$9/12,A50,$D$8,-$D$6)))</f>
        <v>9341.726043596851</v>
      </c>
      <c r="H50" s="56">
        <f>IF(A49=$D$8,SUM($H$25:H49),IF(A49&gt;$D$8,"",F50+G50+O50))</f>
        <v>16161.34539537134</v>
      </c>
      <c r="I50" s="56" t="str">
        <f t="shared" si="21"/>
        <v/>
      </c>
      <c r="J50" s="56" t="str">
        <f t="shared" si="22"/>
        <v/>
      </c>
      <c r="K50" s="56" t="s">
        <v>144</v>
      </c>
      <c r="L50" s="56" t="str">
        <f t="shared" si="23"/>
        <v/>
      </c>
      <c r="M50" s="56" t="str">
        <f t="shared" si="17"/>
        <v/>
      </c>
      <c r="N50" s="56" t="str">
        <f t="shared" si="14"/>
        <v/>
      </c>
      <c r="O50" s="56">
        <f>IF(A49=$D$8,SUM($O$25:O49),IF(A49&gt;$D$8," ",$N$5*$D$6))</f>
        <v>0</v>
      </c>
      <c r="P50" s="59" t="str">
        <f>IF(A49=$D$8,XIRR(H$24:H49,C$24:C49),"")</f>
        <v/>
      </c>
      <c r="Q50" s="56" t="str">
        <f t="shared" si="13"/>
        <v/>
      </c>
      <c r="R50" s="56">
        <f t="shared" si="5"/>
        <v>16161.34539537134</v>
      </c>
      <c r="S50" s="21">
        <f t="shared" ca="1" si="6"/>
        <v>2027</v>
      </c>
      <c r="T50" s="21">
        <f t="shared" ca="1" si="7"/>
        <v>365</v>
      </c>
      <c r="U50" s="21">
        <f t="shared" ca="1" si="8"/>
        <v>10</v>
      </c>
      <c r="V50" s="60">
        <f t="shared" ca="1" si="9"/>
        <v>9</v>
      </c>
      <c r="W50" s="61">
        <f t="shared" ca="1" si="10"/>
        <v>22</v>
      </c>
    </row>
    <row r="51" spans="1:23" x14ac:dyDescent="0.25">
      <c r="A51" s="58">
        <f t="shared" si="1"/>
        <v>27</v>
      </c>
      <c r="B51" s="55">
        <f t="shared" ca="1" si="20"/>
        <v>46459</v>
      </c>
      <c r="C51" s="55">
        <f t="shared" ca="1" si="3"/>
        <v>46456</v>
      </c>
      <c r="D51" s="58">
        <f t="shared" ca="1" si="4"/>
        <v>28</v>
      </c>
      <c r="E51" s="56">
        <f t="shared" si="19"/>
        <v>360483.41814597452</v>
      </c>
      <c r="F51" s="56">
        <f>IF(A50=$D$8,SUM($F$24:F50),IF(A50&gt;$D$8+1,"",PPMT($D$9/12,A51,$D$8,-$D$6)))</f>
        <v>6989.8256847625262</v>
      </c>
      <c r="G51" s="56">
        <f>IF(A50=$D$8,SUM($G$24:G50),IF(A50&gt;$D$8+1,"",IPMT($D$9/12,A51,$D$8,-$D$6)))</f>
        <v>9171.5197106088126</v>
      </c>
      <c r="H51" s="56">
        <f>IF(A50=$D$8,SUM($H$25:H50),IF(A50&gt;$D$8,"",F51+G51+O51))</f>
        <v>16161.34539537134</v>
      </c>
      <c r="I51" s="56" t="str">
        <f t="shared" si="21"/>
        <v/>
      </c>
      <c r="J51" s="56" t="str">
        <f t="shared" si="22"/>
        <v/>
      </c>
      <c r="K51" s="56" t="s">
        <v>144</v>
      </c>
      <c r="L51" s="56" t="str">
        <f t="shared" si="23"/>
        <v/>
      </c>
      <c r="M51" s="56" t="str">
        <f t="shared" si="17"/>
        <v/>
      </c>
      <c r="N51" s="56" t="str">
        <f t="shared" si="14"/>
        <v/>
      </c>
      <c r="O51" s="56">
        <f>IF(A50=$D$8,SUM($O$25:O50),IF(A50&gt;$D$8," ",$N$5*$D$6))</f>
        <v>0</v>
      </c>
      <c r="P51" s="59" t="str">
        <f>IF(A50=$D$8,XIRR(H$24:H50,C$24:C50),"")</f>
        <v/>
      </c>
      <c r="Q51" s="56" t="str">
        <f t="shared" si="13"/>
        <v/>
      </c>
      <c r="R51" s="56">
        <f t="shared" si="5"/>
        <v>16161.34539537134</v>
      </c>
      <c r="S51" s="21">
        <f t="shared" ca="1" si="6"/>
        <v>2027</v>
      </c>
      <c r="T51" s="21">
        <f t="shared" ca="1" si="7"/>
        <v>365</v>
      </c>
      <c r="U51" s="21">
        <f t="shared" ca="1" si="8"/>
        <v>10</v>
      </c>
      <c r="V51" s="60">
        <f t="shared" ca="1" si="9"/>
        <v>9</v>
      </c>
      <c r="W51" s="61">
        <f t="shared" ca="1" si="10"/>
        <v>19</v>
      </c>
    </row>
    <row r="52" spans="1:23" x14ac:dyDescent="0.25">
      <c r="A52" s="58">
        <f t="shared" si="1"/>
        <v>28</v>
      </c>
      <c r="B52" s="55">
        <f t="shared" ca="1" si="20"/>
        <v>46490</v>
      </c>
      <c r="C52" s="55">
        <f t="shared" ca="1" si="3"/>
        <v>46487</v>
      </c>
      <c r="D52" s="58">
        <f t="shared" ca="1" si="4"/>
        <v>31</v>
      </c>
      <c r="E52" s="56">
        <f t="shared" si="19"/>
        <v>353319.13806182978</v>
      </c>
      <c r="F52" s="56">
        <f>IF(A51=$D$8,SUM($F$24:F51),IF(A51&gt;$D$8+1,"",PPMT($D$9/12,A52,$D$8,-$D$6)))</f>
        <v>7164.2800841447252</v>
      </c>
      <c r="G52" s="56">
        <f>IF(A51=$D$8,SUM($G$24:G51),IF(A51&gt;$D$8+1,"",IPMT($D$9/12,A52,$D$8,-$D$6)))</f>
        <v>8997.0653112266154</v>
      </c>
      <c r="H52" s="56">
        <f>IF(A51=$D$8,SUM($H$25:H51),IF(A51&gt;$D$8,"",F52+G52+O52))</f>
        <v>16161.34539537134</v>
      </c>
      <c r="I52" s="56" t="str">
        <f t="shared" si="21"/>
        <v/>
      </c>
      <c r="J52" s="56" t="str">
        <f t="shared" si="22"/>
        <v/>
      </c>
      <c r="K52" s="56" t="s">
        <v>144</v>
      </c>
      <c r="L52" s="56" t="str">
        <f t="shared" si="23"/>
        <v/>
      </c>
      <c r="M52" s="56" t="str">
        <f t="shared" si="17"/>
        <v/>
      </c>
      <c r="N52" s="56" t="str">
        <f t="shared" si="14"/>
        <v/>
      </c>
      <c r="O52" s="56">
        <f>IF(A51=$D$8,SUM($O$25:O51),IF(A51&gt;$D$8," ",$N$5*$D$6))</f>
        <v>0</v>
      </c>
      <c r="P52" s="59" t="str">
        <f>IF(A51=$D$8,XIRR(H$24:H51,C$24:C51),"")</f>
        <v/>
      </c>
      <c r="Q52" s="56" t="str">
        <f t="shared" si="13"/>
        <v/>
      </c>
      <c r="R52" s="56">
        <f t="shared" si="5"/>
        <v>16161.34539537134</v>
      </c>
      <c r="S52" s="21">
        <f t="shared" ca="1" si="6"/>
        <v>2027</v>
      </c>
      <c r="T52" s="21">
        <f t="shared" ca="1" si="7"/>
        <v>365</v>
      </c>
      <c r="U52" s="21">
        <f t="shared" ca="1" si="8"/>
        <v>10</v>
      </c>
      <c r="V52" s="60">
        <f t="shared" ca="1" si="9"/>
        <v>9</v>
      </c>
      <c r="W52" s="61">
        <f t="shared" ca="1" si="10"/>
        <v>22</v>
      </c>
    </row>
    <row r="53" spans="1:23" x14ac:dyDescent="0.25">
      <c r="A53" s="58">
        <f t="shared" si="1"/>
        <v>29</v>
      </c>
      <c r="B53" s="55">
        <f t="shared" ca="1" si="20"/>
        <v>46520</v>
      </c>
      <c r="C53" s="55">
        <f t="shared" ca="1" si="3"/>
        <v>46517</v>
      </c>
      <c r="D53" s="58">
        <f t="shared" ca="1" si="4"/>
        <v>30</v>
      </c>
      <c r="E53" s="56">
        <f t="shared" si="19"/>
        <v>345976.04948725161</v>
      </c>
      <c r="F53" s="56">
        <f>IF(A52=$D$8,SUM($F$24:F52),IF(A52&gt;$D$8+1,"",PPMT($D$9/12,A53,$D$8,-$D$6)))</f>
        <v>7343.0885745781698</v>
      </c>
      <c r="G53" s="56">
        <f>IF(A52=$D$8,SUM($G$24:G52),IF(A52&gt;$D$8+1,"",IPMT($D$9/12,A53,$D$8,-$D$6)))</f>
        <v>8818.2568207931708</v>
      </c>
      <c r="H53" s="56">
        <f>IF(A52=$D$8,SUM($H$25:H52),IF(A52&gt;$D$8,"",F53+G53+O53))</f>
        <v>16161.34539537134</v>
      </c>
      <c r="I53" s="56" t="str">
        <f t="shared" si="21"/>
        <v/>
      </c>
      <c r="J53" s="56" t="str">
        <f t="shared" si="22"/>
        <v/>
      </c>
      <c r="K53" s="56" t="s">
        <v>144</v>
      </c>
      <c r="L53" s="56" t="str">
        <f t="shared" si="23"/>
        <v/>
      </c>
      <c r="M53" s="56" t="str">
        <f t="shared" si="17"/>
        <v/>
      </c>
      <c r="N53" s="56" t="str">
        <f t="shared" si="14"/>
        <v/>
      </c>
      <c r="O53" s="56">
        <f>IF(A52=$D$8,SUM($O$25:O52),IF(A52&gt;$D$8," ",$N$5*$D$6))</f>
        <v>0</v>
      </c>
      <c r="P53" s="59" t="str">
        <f>IF(A52=$D$8,XIRR(H$24:H52,C$24:C52),"")</f>
        <v/>
      </c>
      <c r="Q53" s="56" t="str">
        <f t="shared" si="13"/>
        <v/>
      </c>
      <c r="R53" s="56">
        <f t="shared" si="5"/>
        <v>16161.34539537134</v>
      </c>
      <c r="S53" s="21">
        <f t="shared" ca="1" si="6"/>
        <v>2027</v>
      </c>
      <c r="T53" s="21">
        <f t="shared" ca="1" si="7"/>
        <v>365</v>
      </c>
      <c r="U53" s="21">
        <f t="shared" ca="1" si="8"/>
        <v>10</v>
      </c>
      <c r="V53" s="60">
        <f t="shared" ca="1" si="9"/>
        <v>9</v>
      </c>
      <c r="W53" s="61">
        <f t="shared" ca="1" si="10"/>
        <v>21</v>
      </c>
    </row>
    <row r="54" spans="1:23" x14ac:dyDescent="0.25">
      <c r="A54" s="58">
        <f t="shared" si="1"/>
        <v>30</v>
      </c>
      <c r="B54" s="55">
        <f t="shared" ca="1" si="20"/>
        <v>46551</v>
      </c>
      <c r="C54" s="55">
        <f t="shared" ca="1" si="3"/>
        <v>46548</v>
      </c>
      <c r="D54" s="58">
        <f t="shared" ca="1" si="4"/>
        <v>31</v>
      </c>
      <c r="E54" s="56">
        <f t="shared" si="19"/>
        <v>338449.68966033292</v>
      </c>
      <c r="F54" s="56">
        <f>IF(A53=$D$8,SUM($F$24:F53),IF(A53&gt;$D$8+1,"",PPMT($D$9/12,A54,$D$8,-$D$6)))</f>
        <v>7526.3598269186832</v>
      </c>
      <c r="G54" s="56">
        <f>IF(A53=$D$8,SUM($G$24:G53),IF(A53&gt;$D$8+1,"",IPMT($D$9/12,A54,$D$8,-$D$6)))</f>
        <v>8634.9855684526574</v>
      </c>
      <c r="H54" s="56">
        <f>IF(A53=$D$8,SUM($H$25:H53),IF(A53&gt;$D$8,"",F54+G54+O54))</f>
        <v>16161.34539537134</v>
      </c>
      <c r="I54" s="56" t="str">
        <f t="shared" si="21"/>
        <v/>
      </c>
      <c r="J54" s="56" t="str">
        <f t="shared" si="22"/>
        <v/>
      </c>
      <c r="K54" s="56" t="s">
        <v>144</v>
      </c>
      <c r="L54" s="56" t="str">
        <f t="shared" si="23"/>
        <v/>
      </c>
      <c r="M54" s="56" t="str">
        <f t="shared" si="17"/>
        <v/>
      </c>
      <c r="N54" s="56" t="str">
        <f t="shared" si="14"/>
        <v/>
      </c>
      <c r="O54" s="56">
        <f>IF(A53=$D$8,SUM($O$25:O53),IF(A53&gt;$D$8," ",$N$5*$D$6))</f>
        <v>0</v>
      </c>
      <c r="P54" s="59" t="str">
        <f>IF(A53=$D$8,XIRR(H$24:H53,C$24:C53),"")</f>
        <v/>
      </c>
      <c r="Q54" s="56" t="str">
        <f t="shared" si="13"/>
        <v/>
      </c>
      <c r="R54" s="56">
        <f t="shared" si="5"/>
        <v>16161.34539537134</v>
      </c>
      <c r="S54" s="21">
        <f t="shared" ca="1" si="6"/>
        <v>2027</v>
      </c>
      <c r="T54" s="21">
        <f t="shared" ca="1" si="7"/>
        <v>365</v>
      </c>
      <c r="U54" s="21">
        <f t="shared" ca="1" si="8"/>
        <v>10</v>
      </c>
      <c r="V54" s="60">
        <f t="shared" ca="1" si="9"/>
        <v>9</v>
      </c>
      <c r="W54" s="61">
        <f t="shared" ca="1" si="10"/>
        <v>22</v>
      </c>
    </row>
    <row r="55" spans="1:23" x14ac:dyDescent="0.25">
      <c r="A55" s="58">
        <f t="shared" si="1"/>
        <v>31</v>
      </c>
      <c r="B55" s="55">
        <f t="shared" ca="1" si="20"/>
        <v>46581</v>
      </c>
      <c r="C55" s="55">
        <f t="shared" ca="1" si="3"/>
        <v>46578</v>
      </c>
      <c r="D55" s="58">
        <f t="shared" ca="1" si="4"/>
        <v>30</v>
      </c>
      <c r="E55" s="56">
        <f t="shared" si="19"/>
        <v>330735.4844360674</v>
      </c>
      <c r="F55" s="56">
        <f>IF(A54=$D$8,SUM($F$24:F54),IF(A54&gt;$D$8+1,"",PPMT($D$9/12,A55,$D$8,-$D$6)))</f>
        <v>7714.2052242655282</v>
      </c>
      <c r="G55" s="56">
        <f>IF(A54=$D$8,SUM($G$24:G54),IF(A54&gt;$D$8+1,"",IPMT($D$9/12,A55,$D$8,-$D$6)))</f>
        <v>8447.1401711058115</v>
      </c>
      <c r="H55" s="56">
        <f>IF(A54=$D$8,SUM($H$25:H54),IF(A54&gt;$D$8,"",F55+G55+O55))</f>
        <v>16161.34539537134</v>
      </c>
      <c r="I55" s="56" t="str">
        <f t="shared" si="21"/>
        <v/>
      </c>
      <c r="J55" s="56" t="str">
        <f t="shared" si="22"/>
        <v/>
      </c>
      <c r="K55" s="56" t="s">
        <v>144</v>
      </c>
      <c r="L55" s="56" t="str">
        <f t="shared" si="23"/>
        <v/>
      </c>
      <c r="M55" s="56" t="str">
        <f t="shared" si="17"/>
        <v/>
      </c>
      <c r="N55" s="56" t="str">
        <f t="shared" si="14"/>
        <v/>
      </c>
      <c r="O55" s="56">
        <f>IF(A54=$D$8,SUM($O$25:O54),IF(A54&gt;$D$8," ",$N$5*$D$6))</f>
        <v>0</v>
      </c>
      <c r="P55" s="59" t="str">
        <f>IF(A54=$D$8,XIRR(H$24:H54,C$24:C54),"")</f>
        <v/>
      </c>
      <c r="Q55" s="56" t="str">
        <f t="shared" si="13"/>
        <v/>
      </c>
      <c r="R55" s="56">
        <f t="shared" si="5"/>
        <v>16161.34539537134</v>
      </c>
      <c r="S55" s="21">
        <f t="shared" ca="1" si="6"/>
        <v>2027</v>
      </c>
      <c r="T55" s="21">
        <f t="shared" ca="1" si="7"/>
        <v>365</v>
      </c>
      <c r="U55" s="21">
        <f t="shared" ca="1" si="8"/>
        <v>10</v>
      </c>
      <c r="V55" s="60">
        <f t="shared" ca="1" si="9"/>
        <v>9</v>
      </c>
      <c r="W55" s="61">
        <f t="shared" ca="1" si="10"/>
        <v>21</v>
      </c>
    </row>
    <row r="56" spans="1:23" x14ac:dyDescent="0.25">
      <c r="A56" s="58">
        <f t="shared" si="1"/>
        <v>32</v>
      </c>
      <c r="B56" s="55">
        <f t="shared" ca="1" si="20"/>
        <v>46612</v>
      </c>
      <c r="C56" s="55">
        <f t="shared" ca="1" si="3"/>
        <v>46609</v>
      </c>
      <c r="D56" s="58">
        <f t="shared" ca="1" si="4"/>
        <v>31</v>
      </c>
      <c r="E56" s="56">
        <f t="shared" si="19"/>
        <v>322828.74550641293</v>
      </c>
      <c r="F56" s="56">
        <f>IF(A55=$D$8,SUM($F$24:F55),IF(A55&gt;$D$8+1,"",PPMT($D$9/12,A56,$D$8,-$D$6)))</f>
        <v>7906.7389296544889</v>
      </c>
      <c r="G56" s="56">
        <f>IF(A55=$D$8,SUM($G$24:G55),IF(A55&gt;$D$8+1,"",IPMT($D$9/12,A56,$D$8,-$D$6)))</f>
        <v>8254.6064657168499</v>
      </c>
      <c r="H56" s="56">
        <f>IF(A55=$D$8,SUM($H$25:H55),IF(A55&gt;$D$8,"",F56+G56+O56))</f>
        <v>16161.34539537134</v>
      </c>
      <c r="I56" s="56" t="str">
        <f t="shared" si="21"/>
        <v/>
      </c>
      <c r="J56" s="56" t="str">
        <f t="shared" si="22"/>
        <v/>
      </c>
      <c r="K56" s="56" t="s">
        <v>144</v>
      </c>
      <c r="L56" s="56" t="str">
        <f t="shared" si="23"/>
        <v/>
      </c>
      <c r="M56" s="56" t="str">
        <f t="shared" si="17"/>
        <v/>
      </c>
      <c r="N56" s="56" t="str">
        <f t="shared" si="14"/>
        <v/>
      </c>
      <c r="O56" s="56">
        <f>IF(A55=$D$8,SUM($O$25:O55),IF(A55&gt;$D$8," ",$N$5*$D$6))</f>
        <v>0</v>
      </c>
      <c r="P56" s="59" t="str">
        <f>IF(A55=$D$8,XIRR(H$24:H55,C$24:C55),"")</f>
        <v/>
      </c>
      <c r="Q56" s="56" t="str">
        <f t="shared" si="13"/>
        <v/>
      </c>
      <c r="R56" s="56">
        <f t="shared" si="5"/>
        <v>16161.34539537134</v>
      </c>
      <c r="S56" s="21">
        <f t="shared" ca="1" si="6"/>
        <v>2027</v>
      </c>
      <c r="T56" s="21">
        <f t="shared" ca="1" si="7"/>
        <v>365</v>
      </c>
      <c r="U56" s="21">
        <f t="shared" ca="1" si="8"/>
        <v>10</v>
      </c>
      <c r="V56" s="60">
        <f t="shared" ca="1" si="9"/>
        <v>9</v>
      </c>
      <c r="W56" s="61">
        <f t="shared" ca="1" si="10"/>
        <v>22</v>
      </c>
    </row>
    <row r="57" spans="1:23" x14ac:dyDescent="0.25">
      <c r="A57" s="58">
        <f t="shared" si="1"/>
        <v>33</v>
      </c>
      <c r="B57" s="55">
        <f t="shared" ca="1" si="20"/>
        <v>46643</v>
      </c>
      <c r="C57" s="55">
        <f t="shared" ca="1" si="3"/>
        <v>46640</v>
      </c>
      <c r="D57" s="58">
        <f t="shared" ca="1" si="4"/>
        <v>31</v>
      </c>
      <c r="E57" s="56">
        <f t="shared" si="19"/>
        <v>314724.66755097249</v>
      </c>
      <c r="F57" s="56">
        <f>IF(A56=$D$8,SUM($F$24:F56),IF(A56&gt;$D$8+1,"",PPMT($D$9/12,A57,$D$8,-$D$6)))</f>
        <v>8104.077955440448</v>
      </c>
      <c r="G57" s="56">
        <f>IF(A56=$D$8,SUM($G$24:G56),IF(A56&gt;$D$8+1,"",IPMT($D$9/12,A57,$D$8,-$D$6)))</f>
        <v>8057.2674399308917</v>
      </c>
      <c r="H57" s="56">
        <f>IF(A56=$D$8,SUM($H$25:H56),IF(A56&gt;$D$8,"",F57+G57+O57))</f>
        <v>16161.34539537134</v>
      </c>
      <c r="I57" s="56" t="str">
        <f t="shared" si="21"/>
        <v/>
      </c>
      <c r="J57" s="56" t="str">
        <f t="shared" si="22"/>
        <v/>
      </c>
      <c r="K57" s="56" t="s">
        <v>144</v>
      </c>
      <c r="L57" s="56" t="str">
        <f t="shared" si="23"/>
        <v/>
      </c>
      <c r="M57" s="56" t="str">
        <f t="shared" si="17"/>
        <v/>
      </c>
      <c r="N57" s="56" t="str">
        <f t="shared" si="14"/>
        <v/>
      </c>
      <c r="O57" s="56">
        <f>IF(A56=$D$8,SUM($O$25:O56),IF(A56&gt;$D$8," ",$N$5*$D$6))</f>
        <v>0</v>
      </c>
      <c r="P57" s="59" t="str">
        <f>IF(A56=$D$8,XIRR(H$24:H56,C$24:C56),"")</f>
        <v/>
      </c>
      <c r="Q57" s="56" t="str">
        <f t="shared" si="13"/>
        <v/>
      </c>
      <c r="R57" s="56">
        <f t="shared" si="5"/>
        <v>16161.34539537134</v>
      </c>
      <c r="S57" s="21">
        <f t="shared" ca="1" si="6"/>
        <v>2027</v>
      </c>
      <c r="T57" s="21">
        <f t="shared" ca="1" si="7"/>
        <v>365</v>
      </c>
      <c r="U57" s="21">
        <f t="shared" ca="1" si="8"/>
        <v>10</v>
      </c>
      <c r="V57" s="60">
        <f t="shared" ca="1" si="9"/>
        <v>9</v>
      </c>
      <c r="W57" s="61">
        <f t="shared" ca="1" si="10"/>
        <v>22</v>
      </c>
    </row>
    <row r="58" spans="1:23" x14ac:dyDescent="0.25">
      <c r="A58" s="58">
        <f t="shared" si="1"/>
        <v>34</v>
      </c>
      <c r="B58" s="55">
        <f t="shared" ca="1" si="20"/>
        <v>46673</v>
      </c>
      <c r="C58" s="55">
        <f t="shared" ca="1" si="3"/>
        <v>46670</v>
      </c>
      <c r="D58" s="58">
        <f t="shared" ca="1" si="4"/>
        <v>30</v>
      </c>
      <c r="E58" s="56">
        <f t="shared" si="19"/>
        <v>306418.32531656086</v>
      </c>
      <c r="F58" s="56">
        <f>IF(A57=$D$8,SUM($F$24:F57),IF(A57&gt;$D$8+1,"",PPMT($D$9/12,A58,$D$8,-$D$6)))</f>
        <v>8306.3422344116516</v>
      </c>
      <c r="G58" s="56">
        <f>IF(A57=$D$8,SUM($G$24:G57),IF(A57&gt;$D$8+1,"",IPMT($D$9/12,A58,$D$8,-$D$6)))</f>
        <v>7855.0031609596899</v>
      </c>
      <c r="H58" s="56">
        <f>IF(A57=$D$8,SUM($H$25:H57),IF(A57&gt;$D$8,"",F58+G58+O58))</f>
        <v>16161.345395371342</v>
      </c>
      <c r="I58" s="56" t="str">
        <f t="shared" si="21"/>
        <v/>
      </c>
      <c r="J58" s="56" t="str">
        <f t="shared" si="22"/>
        <v/>
      </c>
      <c r="K58" s="56" t="s">
        <v>144</v>
      </c>
      <c r="L58" s="56" t="str">
        <f t="shared" si="23"/>
        <v/>
      </c>
      <c r="M58" s="56" t="str">
        <f t="shared" si="17"/>
        <v/>
      </c>
      <c r="N58" s="56" t="str">
        <f t="shared" si="14"/>
        <v/>
      </c>
      <c r="O58" s="56">
        <f>IF(A57=$D$8,SUM($O$25:O57),IF(A57&gt;$D$8," ",$N$5*$D$6))</f>
        <v>0</v>
      </c>
      <c r="P58" s="59" t="str">
        <f>IF(A57=$D$8,XIRR(H$24:H57,C$24:C57),"")</f>
        <v/>
      </c>
      <c r="Q58" s="56" t="str">
        <f t="shared" si="13"/>
        <v/>
      </c>
      <c r="R58" s="56">
        <f t="shared" si="5"/>
        <v>16161.345395371342</v>
      </c>
      <c r="S58" s="21">
        <f t="shared" ca="1" si="6"/>
        <v>2027</v>
      </c>
      <c r="T58" s="21">
        <f t="shared" ca="1" si="7"/>
        <v>365</v>
      </c>
      <c r="U58" s="21">
        <f t="shared" ca="1" si="8"/>
        <v>10</v>
      </c>
      <c r="V58" s="60">
        <f t="shared" ca="1" si="9"/>
        <v>9</v>
      </c>
      <c r="W58" s="61">
        <f t="shared" ca="1" si="10"/>
        <v>21</v>
      </c>
    </row>
    <row r="59" spans="1:23" x14ac:dyDescent="0.25">
      <c r="A59" s="58">
        <f t="shared" si="1"/>
        <v>35</v>
      </c>
      <c r="B59" s="55">
        <f t="shared" ca="1" si="20"/>
        <v>46704</v>
      </c>
      <c r="C59" s="55">
        <f t="shared" ca="1" si="3"/>
        <v>46701</v>
      </c>
      <c r="D59" s="58">
        <f t="shared" ca="1" si="4"/>
        <v>31</v>
      </c>
      <c r="E59" s="56">
        <f t="shared" si="19"/>
        <v>297904.67062388203</v>
      </c>
      <c r="F59" s="56">
        <f>IF(A58=$D$8,SUM($F$24:F58),IF(A58&gt;$D$8+1,"",PPMT($D$9/12,A59,$D$8,-$D$6)))</f>
        <v>8513.6546926788415</v>
      </c>
      <c r="G59" s="56">
        <f>IF(A58=$D$8,SUM($G$24:G58),IF(A58&gt;$D$8+1,"",IPMT($D$9/12,A59,$D$8,-$D$6)))</f>
        <v>7647.6907026924991</v>
      </c>
      <c r="H59" s="56">
        <f>IF(A58=$D$8,SUM($H$25:H58),IF(A58&gt;$D$8,"",F59+G59+O59))</f>
        <v>16161.34539537134</v>
      </c>
      <c r="I59" s="56" t="str">
        <f t="shared" si="21"/>
        <v/>
      </c>
      <c r="J59" s="56" t="str">
        <f t="shared" si="22"/>
        <v/>
      </c>
      <c r="K59" s="56" t="s">
        <v>145</v>
      </c>
      <c r="L59" s="56" t="str">
        <f t="shared" si="23"/>
        <v/>
      </c>
      <c r="M59" s="56" t="str">
        <f t="shared" si="17"/>
        <v/>
      </c>
      <c r="N59" s="56" t="str">
        <f t="shared" si="14"/>
        <v/>
      </c>
      <c r="O59" s="56">
        <f>IF(A58=$D$8,SUM($O$25:O58),IF(A58&gt;$D$8," ",$N$5*$D$6))</f>
        <v>0</v>
      </c>
      <c r="P59" s="59" t="str">
        <f>IF(A58=$D$8,XIRR(H$24:H58,C$24:C58),"")</f>
        <v/>
      </c>
      <c r="Q59" s="56" t="str">
        <f t="shared" si="13"/>
        <v/>
      </c>
      <c r="R59" s="56">
        <f t="shared" si="5"/>
        <v>16161.34539537134</v>
      </c>
      <c r="S59" s="21">
        <f t="shared" ca="1" si="6"/>
        <v>2027</v>
      </c>
      <c r="T59" s="21">
        <f t="shared" ca="1" si="7"/>
        <v>365</v>
      </c>
      <c r="U59" s="21">
        <f t="shared" ca="1" si="8"/>
        <v>10</v>
      </c>
      <c r="V59" s="60">
        <f t="shared" ca="1" si="9"/>
        <v>9</v>
      </c>
      <c r="W59" s="61">
        <f t="shared" ca="1" si="10"/>
        <v>22</v>
      </c>
    </row>
    <row r="60" spans="1:23" x14ac:dyDescent="0.25">
      <c r="A60" s="58">
        <f t="shared" si="1"/>
        <v>36</v>
      </c>
      <c r="B60" s="55">
        <f t="shared" ca="1" si="20"/>
        <v>46734</v>
      </c>
      <c r="C60" s="55">
        <f t="shared" ca="1" si="3"/>
        <v>46731</v>
      </c>
      <c r="D60" s="58">
        <f t="shared" ca="1" si="4"/>
        <v>30</v>
      </c>
      <c r="E60" s="56">
        <f t="shared" si="19"/>
        <v>289178.52929949842</v>
      </c>
      <c r="F60" s="56">
        <f>IF(A59=$D$8,SUM($F$24:F59),IF(A59&gt;$D$8+1,"",PPMT($D$9/12,A60,$D$8,-$D$6)))</f>
        <v>8726.1413243836159</v>
      </c>
      <c r="G60" s="56">
        <f>IF(A59=$D$8,SUM($G$24:G59),IF(A59&gt;$D$8+1,"",IPMT($D$9/12,A60,$D$8,-$D$6)))</f>
        <v>7435.2040709877238</v>
      </c>
      <c r="H60" s="56">
        <f>IF(A59=$D$8,SUM($H$25:H59),IF(A59&gt;$D$8,"",F60+G60+O60))</f>
        <v>16161.34539537134</v>
      </c>
      <c r="I60" s="56" t="str">
        <f t="shared" si="21"/>
        <v/>
      </c>
      <c r="J60" s="56" t="str">
        <f t="shared" si="22"/>
        <v/>
      </c>
      <c r="K60" s="56" t="s">
        <v>144</v>
      </c>
      <c r="L60" s="56" t="str">
        <f t="shared" si="23"/>
        <v/>
      </c>
      <c r="M60" s="56" t="str">
        <f t="shared" si="17"/>
        <v/>
      </c>
      <c r="N60" s="56" t="str">
        <f t="shared" si="14"/>
        <v/>
      </c>
      <c r="O60" s="56">
        <f>IF(A59=$D$8,SUM($O$25:O59),IF(A59&gt;$D$8," ",$N$5*$D$6))</f>
        <v>0</v>
      </c>
      <c r="P60" s="59" t="str">
        <f>IF(A59=$D$8,XIRR(H$24:H59,C$24:C59),"")</f>
        <v/>
      </c>
      <c r="Q60" s="56" t="str">
        <f t="shared" si="13"/>
        <v/>
      </c>
      <c r="R60" s="56">
        <f t="shared" si="5"/>
        <v>16161.34539537134</v>
      </c>
      <c r="S60" s="21">
        <f t="shared" ca="1" si="6"/>
        <v>2027</v>
      </c>
      <c r="T60" s="21">
        <f t="shared" ca="1" si="7"/>
        <v>365</v>
      </c>
      <c r="U60" s="21">
        <f t="shared" ca="1" si="8"/>
        <v>10</v>
      </c>
      <c r="V60" s="60">
        <f t="shared" ca="1" si="9"/>
        <v>9</v>
      </c>
      <c r="W60" s="61">
        <f t="shared" ca="1" si="10"/>
        <v>21</v>
      </c>
    </row>
    <row r="61" spans="1:23" x14ac:dyDescent="0.25">
      <c r="A61" s="58">
        <f t="shared" si="1"/>
        <v>37</v>
      </c>
      <c r="B61" s="55">
        <f t="shared" ca="1" si="20"/>
        <v>46765</v>
      </c>
      <c r="C61" s="55">
        <f t="shared" ca="1" si="3"/>
        <v>46762</v>
      </c>
      <c r="D61" s="58">
        <f t="shared" ca="1" si="4"/>
        <v>31</v>
      </c>
      <c r="E61" s="56">
        <f t="shared" si="19"/>
        <v>280234.59803122707</v>
      </c>
      <c r="F61" s="56">
        <f>IF(A60=$D$8,SUM($F$24:F60),IF(A60&gt;$D$8+1,"",PPMT($D$9/12,A61,$D$8,-$D$6)))</f>
        <v>8943.9312682713571</v>
      </c>
      <c r="G61" s="56">
        <f>IF(A60=$D$8,SUM($G$24:G60),IF(A60&gt;$D$8+1,"",IPMT($D$9/12,A61,$D$8,-$D$6)))</f>
        <v>7217.4141270999808</v>
      </c>
      <c r="H61" s="56">
        <f>IF(A60=$D$8,SUM($H$25:H60),IF(A60&gt;$D$8,"",F61+G61+O61))</f>
        <v>16161.345395371338</v>
      </c>
      <c r="I61" s="56" t="str">
        <f t="shared" si="21"/>
        <v/>
      </c>
      <c r="J61" s="56">
        <f>IF($D$8&gt;A60,$N$9,IF(A60=36,SUM($J$24:J60)," "))</f>
        <v>0</v>
      </c>
      <c r="K61" s="56">
        <f>IF($D$8&gt;36,($O$8+$N$10*E60),IF($A$60=$D$8,$K$37+$K$24+$K$49,""))</f>
        <v>0</v>
      </c>
      <c r="L61" s="56" t="str">
        <f t="shared" si="23"/>
        <v/>
      </c>
      <c r="M61" s="56" t="str">
        <f t="shared" si="17"/>
        <v/>
      </c>
      <c r="N61" s="56" t="str">
        <f t="shared" si="14"/>
        <v/>
      </c>
      <c r="O61" s="56">
        <f>IF(A60=$D$8,SUM($O$25:O60),IF(A60&gt;$D$8," ",$N$5*$D$6))</f>
        <v>0</v>
      </c>
      <c r="P61" s="59" t="str">
        <f>IF(A60=$D$8,XIRR(H$24:H60,C$24:C60),"")</f>
        <v/>
      </c>
      <c r="Q61" s="56" t="str">
        <f t="shared" si="13"/>
        <v/>
      </c>
      <c r="R61" s="56">
        <f t="shared" si="5"/>
        <v>16161.345395371338</v>
      </c>
      <c r="S61" s="21">
        <f t="shared" ca="1" si="6"/>
        <v>2028</v>
      </c>
      <c r="T61" s="21">
        <f t="shared" ca="1" si="7"/>
        <v>366</v>
      </c>
      <c r="U61" s="21">
        <f t="shared" ca="1" si="8"/>
        <v>10</v>
      </c>
      <c r="V61" s="60">
        <f t="shared" ca="1" si="9"/>
        <v>9</v>
      </c>
      <c r="W61" s="61">
        <f t="shared" ca="1" si="10"/>
        <v>22</v>
      </c>
    </row>
    <row r="62" spans="1:23" x14ac:dyDescent="0.25">
      <c r="A62" s="58">
        <f t="shared" si="1"/>
        <v>38</v>
      </c>
      <c r="B62" s="55">
        <f t="shared" ca="1" si="20"/>
        <v>46796</v>
      </c>
      <c r="C62" s="55">
        <f t="shared" ca="1" si="3"/>
        <v>46793</v>
      </c>
      <c r="D62" s="58">
        <f t="shared" ca="1" si="4"/>
        <v>31</v>
      </c>
      <c r="E62" s="56">
        <f t="shared" si="19"/>
        <v>271067.44114505179</v>
      </c>
      <c r="F62" s="56">
        <f>IF(A61=$D$8,SUM($F$24:F61),IF(A61&gt;$D$8+1,"",PPMT($D$9/12,A62,$D$8,-$D$6)))</f>
        <v>9167.1568861752967</v>
      </c>
      <c r="G62" s="56">
        <f>IF(A61=$D$8,SUM($G$24:G61),IF(A61&gt;$D$8+1,"",IPMT($D$9/12,A62,$D$8,-$D$6)))</f>
        <v>6994.188509196043</v>
      </c>
      <c r="H62" s="56">
        <f>IF(A61=$D$8,SUM($H$25:H61),IF(A61&gt;$D$8,"",F62+G62+O62))</f>
        <v>16161.34539537134</v>
      </c>
      <c r="I62" s="56" t="str">
        <f t="shared" si="21"/>
        <v/>
      </c>
      <c r="J62" s="56" t="str">
        <f t="shared" si="22"/>
        <v/>
      </c>
      <c r="K62" s="56" t="s">
        <v>144</v>
      </c>
      <c r="L62" s="56" t="str">
        <f t="shared" si="23"/>
        <v/>
      </c>
      <c r="M62" s="56" t="str">
        <f t="shared" si="17"/>
        <v/>
      </c>
      <c r="N62" s="56" t="str">
        <f t="shared" si="14"/>
        <v/>
      </c>
      <c r="O62" s="56">
        <f>IF(A61=$D$8,SUM($O$25:O61),IF(A61&gt;$D$8," ",$N$5*$D$6))</f>
        <v>0</v>
      </c>
      <c r="P62" s="59" t="str">
        <f>IF(A61=$D$8,XIRR(H$24:H61,C$24:C61),"")</f>
        <v/>
      </c>
      <c r="Q62" s="56" t="str">
        <f t="shared" si="13"/>
        <v/>
      </c>
      <c r="R62" s="56">
        <f t="shared" si="5"/>
        <v>16161.34539537134</v>
      </c>
      <c r="S62" s="21">
        <f t="shared" ca="1" si="6"/>
        <v>2028</v>
      </c>
      <c r="T62" s="21">
        <f t="shared" ca="1" si="7"/>
        <v>366</v>
      </c>
      <c r="U62" s="21">
        <f t="shared" ca="1" si="8"/>
        <v>10</v>
      </c>
      <c r="V62" s="60">
        <f t="shared" ca="1" si="9"/>
        <v>9</v>
      </c>
      <c r="W62" s="61">
        <f t="shared" ca="1" si="10"/>
        <v>22</v>
      </c>
    </row>
    <row r="63" spans="1:23" x14ac:dyDescent="0.25">
      <c r="A63" s="58">
        <f t="shared" si="1"/>
        <v>39</v>
      </c>
      <c r="B63" s="55">
        <f t="shared" ca="1" si="20"/>
        <v>46825</v>
      </c>
      <c r="C63" s="55">
        <f t="shared" ca="1" si="3"/>
        <v>46822</v>
      </c>
      <c r="D63" s="58">
        <f t="shared" ca="1" si="4"/>
        <v>29</v>
      </c>
      <c r="E63" s="56">
        <f t="shared" si="19"/>
        <v>261671.48730159237</v>
      </c>
      <c r="F63" s="56">
        <f>IF(A62=$D$8,SUM($F$24:F62),IF(A62&gt;$D$8+1,"",PPMT($D$9/12,A63,$D$8,-$D$6)))</f>
        <v>9395.9538434594233</v>
      </c>
      <c r="G63" s="56">
        <f>IF(A62=$D$8,SUM($G$24:G62),IF(A62&gt;$D$8+1,"",IPMT($D$9/12,A63,$D$8,-$D$6)))</f>
        <v>6765.3915519119191</v>
      </c>
      <c r="H63" s="56">
        <f>IF(A62=$D$8,SUM($H$25:H62),IF(A62&gt;$D$8,"",F63+G63+O63))</f>
        <v>16161.345395371343</v>
      </c>
      <c r="I63" s="56" t="str">
        <f t="shared" si="21"/>
        <v/>
      </c>
      <c r="J63" s="56" t="str">
        <f t="shared" si="22"/>
        <v/>
      </c>
      <c r="K63" s="56" t="s">
        <v>144</v>
      </c>
      <c r="L63" s="56" t="str">
        <f t="shared" si="23"/>
        <v/>
      </c>
      <c r="M63" s="56" t="str">
        <f t="shared" si="17"/>
        <v/>
      </c>
      <c r="N63" s="56" t="str">
        <f t="shared" si="14"/>
        <v/>
      </c>
      <c r="O63" s="56">
        <f>IF(A62=$D$8,SUM($O$25:O62),IF(A62&gt;$D$8," ",$N$5*$D$6))</f>
        <v>0</v>
      </c>
      <c r="P63" s="59" t="str">
        <f>IF(A62=$D$8,XIRR(H$24:H62,C$24:C62),"")</f>
        <v/>
      </c>
      <c r="Q63" s="56" t="str">
        <f t="shared" si="13"/>
        <v/>
      </c>
      <c r="R63" s="56">
        <f t="shared" si="5"/>
        <v>16161.345395371343</v>
      </c>
      <c r="S63" s="21">
        <f t="shared" ca="1" si="6"/>
        <v>2028</v>
      </c>
      <c r="T63" s="21">
        <f t="shared" ca="1" si="7"/>
        <v>366</v>
      </c>
      <c r="U63" s="21">
        <f t="shared" ca="1" si="8"/>
        <v>10</v>
      </c>
      <c r="V63" s="60">
        <f t="shared" ca="1" si="9"/>
        <v>9</v>
      </c>
      <c r="W63" s="61">
        <f t="shared" ca="1" si="10"/>
        <v>20</v>
      </c>
    </row>
    <row r="64" spans="1:23" x14ac:dyDescent="0.25">
      <c r="A64" s="58">
        <f t="shared" si="1"/>
        <v>40</v>
      </c>
      <c r="B64" s="55">
        <f t="shared" ca="1" si="20"/>
        <v>46856</v>
      </c>
      <c r="C64" s="55">
        <f t="shared" ca="1" si="3"/>
        <v>46853</v>
      </c>
      <c r="D64" s="58">
        <f t="shared" ca="1" si="4"/>
        <v>31</v>
      </c>
      <c r="E64" s="56">
        <f t="shared" si="19"/>
        <v>252041.02611012326</v>
      </c>
      <c r="F64" s="56">
        <f>IF(A63=$D$8,SUM($F$24:F63),IF(A63&gt;$D$8+1,"",PPMT($D$9/12,A64,$D$8,-$D$6)))</f>
        <v>9630.4611914690977</v>
      </c>
      <c r="G64" s="56">
        <f>IF(A63=$D$8,SUM($G$24:G63),IF(A63&gt;$D$8+1,"",IPMT($D$9/12,A64,$D$8,-$D$6)))</f>
        <v>6530.8842039022429</v>
      </c>
      <c r="H64" s="56">
        <f>IF(A63=$D$8,SUM($H$25:H63),IF(A63&gt;$D$8,"",F64+G64+O64))</f>
        <v>16161.34539537134</v>
      </c>
      <c r="I64" s="56" t="str">
        <f t="shared" si="21"/>
        <v/>
      </c>
      <c r="J64" s="56" t="str">
        <f t="shared" si="22"/>
        <v/>
      </c>
      <c r="K64" s="56" t="s">
        <v>144</v>
      </c>
      <c r="L64" s="56" t="str">
        <f t="shared" si="23"/>
        <v/>
      </c>
      <c r="M64" s="56" t="str">
        <f t="shared" si="17"/>
        <v/>
      </c>
      <c r="N64" s="56" t="str">
        <f t="shared" si="14"/>
        <v/>
      </c>
      <c r="O64" s="56">
        <f>IF(A63=$D$8,SUM($O$25:O63),IF(A63&gt;$D$8," ",$N$5*$D$6))</f>
        <v>0</v>
      </c>
      <c r="P64" s="59" t="str">
        <f>IF(A63=$D$8,XIRR(H$24:H63,C$24:C63),"")</f>
        <v/>
      </c>
      <c r="Q64" s="56" t="str">
        <f t="shared" si="13"/>
        <v/>
      </c>
      <c r="R64" s="56">
        <f t="shared" si="5"/>
        <v>16161.34539537134</v>
      </c>
      <c r="S64" s="21">
        <f t="shared" ca="1" si="6"/>
        <v>2028</v>
      </c>
      <c r="T64" s="21">
        <f t="shared" ca="1" si="7"/>
        <v>366</v>
      </c>
      <c r="U64" s="21">
        <f t="shared" ca="1" si="8"/>
        <v>10</v>
      </c>
      <c r="V64" s="60">
        <f t="shared" ca="1" si="9"/>
        <v>9</v>
      </c>
      <c r="W64" s="61">
        <f t="shared" ca="1" si="10"/>
        <v>22</v>
      </c>
    </row>
    <row r="65" spans="1:23" x14ac:dyDescent="0.25">
      <c r="A65" s="58">
        <f t="shared" si="1"/>
        <v>41</v>
      </c>
      <c r="B65" s="55">
        <f t="shared" ca="1" si="20"/>
        <v>46886</v>
      </c>
      <c r="C65" s="55">
        <f t="shared" ca="1" si="3"/>
        <v>46883</v>
      </c>
      <c r="D65" s="58">
        <f t="shared" ca="1" si="4"/>
        <v>30</v>
      </c>
      <c r="E65" s="56">
        <f t="shared" si="19"/>
        <v>242170.20465808373</v>
      </c>
      <c r="F65" s="56">
        <f>IF(A64=$D$8,SUM($F$24:F64),IF(A64&gt;$D$8+1,"",PPMT($D$9/12,A65,$D$8,-$D$6)))</f>
        <v>9870.821452039514</v>
      </c>
      <c r="G65" s="56">
        <f>IF(A64=$D$8,SUM($G$24:G64),IF(A64&gt;$D$8+1,"",IPMT($D$9/12,A65,$D$8,-$D$6)))</f>
        <v>6290.5239433318266</v>
      </c>
      <c r="H65" s="56">
        <f>IF(A64=$D$8,SUM($H$25:H64),IF(A64&gt;$D$8,"",F65+G65+O65))</f>
        <v>16161.34539537134</v>
      </c>
      <c r="I65" s="56" t="str">
        <f t="shared" si="21"/>
        <v/>
      </c>
      <c r="J65" s="56" t="str">
        <f t="shared" si="22"/>
        <v/>
      </c>
      <c r="K65" s="56" t="s">
        <v>144</v>
      </c>
      <c r="L65" s="56" t="str">
        <f t="shared" si="23"/>
        <v/>
      </c>
      <c r="M65" s="56" t="str">
        <f t="shared" si="17"/>
        <v/>
      </c>
      <c r="N65" s="56" t="str">
        <f t="shared" si="14"/>
        <v/>
      </c>
      <c r="O65" s="56">
        <f>IF(A64=$D$8,SUM($O$25:O64),IF(A64&gt;$D$8," ",$N$5*$D$6))</f>
        <v>0</v>
      </c>
      <c r="P65" s="59" t="str">
        <f>IF(A64=$D$8,XIRR(H$24:H64,C$24:C64),"")</f>
        <v/>
      </c>
      <c r="Q65" s="56" t="str">
        <f t="shared" si="13"/>
        <v/>
      </c>
      <c r="R65" s="56">
        <f t="shared" si="5"/>
        <v>16161.34539537134</v>
      </c>
      <c r="S65" s="21">
        <f t="shared" ca="1" si="6"/>
        <v>2028</v>
      </c>
      <c r="T65" s="21">
        <f t="shared" ca="1" si="7"/>
        <v>366</v>
      </c>
      <c r="U65" s="21">
        <f t="shared" ca="1" si="8"/>
        <v>10</v>
      </c>
      <c r="V65" s="60">
        <f t="shared" ca="1" si="9"/>
        <v>9</v>
      </c>
      <c r="W65" s="61">
        <f t="shared" ca="1" si="10"/>
        <v>21</v>
      </c>
    </row>
    <row r="66" spans="1:23" x14ac:dyDescent="0.25">
      <c r="A66" s="58">
        <f t="shared" si="1"/>
        <v>42</v>
      </c>
      <c r="B66" s="55">
        <f t="shared" ca="1" si="20"/>
        <v>46917</v>
      </c>
      <c r="C66" s="55">
        <f t="shared" ca="1" si="3"/>
        <v>46914</v>
      </c>
      <c r="D66" s="58">
        <f t="shared" ca="1" si="4"/>
        <v>31</v>
      </c>
      <c r="E66" s="56">
        <f t="shared" si="19"/>
        <v>232053.02395397041</v>
      </c>
      <c r="F66" s="56">
        <f>IF(A65=$D$8,SUM($F$24:F65),IF(A65&gt;$D$8+1,"",PPMT($D$9/12,A66,$D$8,-$D$6)))</f>
        <v>10117.180704113334</v>
      </c>
      <c r="G66" s="56">
        <f>IF(A65=$D$8,SUM($G$24:G65),IF(A65&gt;$D$8+1,"",IPMT($D$9/12,A66,$D$8,-$D$6)))</f>
        <v>6044.1646912580072</v>
      </c>
      <c r="H66" s="56">
        <f>IF(A65=$D$8,SUM($H$25:H65),IF(A65&gt;$D$8,"",F66+G66+O66))</f>
        <v>16161.345395371342</v>
      </c>
      <c r="I66" s="56" t="str">
        <f t="shared" si="21"/>
        <v/>
      </c>
      <c r="J66" s="56" t="str">
        <f t="shared" si="22"/>
        <v/>
      </c>
      <c r="K66" s="56" t="s">
        <v>144</v>
      </c>
      <c r="L66" s="56" t="str">
        <f t="shared" si="23"/>
        <v/>
      </c>
      <c r="M66" s="56" t="str">
        <f t="shared" si="17"/>
        <v/>
      </c>
      <c r="N66" s="56" t="str">
        <f t="shared" si="14"/>
        <v/>
      </c>
      <c r="O66" s="56">
        <f>IF(A65=$D$8,SUM($O$25:O65),IF(A65&gt;$D$8," ",$N$5*$D$6))</f>
        <v>0</v>
      </c>
      <c r="P66" s="59" t="str">
        <f>IF(A65=$D$8,XIRR(H$24:H65,C$24:C65),"")</f>
        <v/>
      </c>
      <c r="Q66" s="56" t="str">
        <f t="shared" si="13"/>
        <v/>
      </c>
      <c r="R66" s="56">
        <f t="shared" si="5"/>
        <v>16161.345395371342</v>
      </c>
      <c r="S66" s="21">
        <f t="shared" ca="1" si="6"/>
        <v>2028</v>
      </c>
      <c r="T66" s="21">
        <f t="shared" ca="1" si="7"/>
        <v>366</v>
      </c>
      <c r="U66" s="21">
        <f t="shared" ca="1" si="8"/>
        <v>10</v>
      </c>
      <c r="V66" s="60">
        <f t="shared" ca="1" si="9"/>
        <v>9</v>
      </c>
      <c r="W66" s="61">
        <f t="shared" ca="1" si="10"/>
        <v>22</v>
      </c>
    </row>
    <row r="67" spans="1:23" x14ac:dyDescent="0.25">
      <c r="A67" s="58">
        <f t="shared" si="1"/>
        <v>43</v>
      </c>
      <c r="B67" s="55">
        <f t="shared" ca="1" si="20"/>
        <v>46947</v>
      </c>
      <c r="C67" s="55">
        <f t="shared" ca="1" si="3"/>
        <v>46944</v>
      </c>
      <c r="D67" s="58">
        <f t="shared" ca="1" si="4"/>
        <v>30</v>
      </c>
      <c r="E67" s="56">
        <f t="shared" si="19"/>
        <v>221683.33528145024</v>
      </c>
      <c r="F67" s="56">
        <f>IF(A66=$D$8,SUM($F$24:F66),IF(A66&gt;$D$8+1,"",PPMT($D$9/12,A67,$D$8,-$D$6)))</f>
        <v>10369.68867252016</v>
      </c>
      <c r="G67" s="56">
        <f>IF(A66=$D$8,SUM($G$24:G66),IF(A66&gt;$D$8+1,"",IPMT($D$9/12,A67,$D$8,-$D$6)))</f>
        <v>5791.6567228511785</v>
      </c>
      <c r="H67" s="56">
        <f>IF(A66=$D$8,SUM($H$25:H66),IF(A66&gt;$D$8,"",F67+G67+O67))</f>
        <v>16161.34539537134</v>
      </c>
      <c r="I67" s="56" t="str">
        <f t="shared" si="21"/>
        <v/>
      </c>
      <c r="J67" s="56" t="str">
        <f t="shared" si="22"/>
        <v/>
      </c>
      <c r="K67" s="56" t="s">
        <v>144</v>
      </c>
      <c r="L67" s="56" t="str">
        <f t="shared" si="23"/>
        <v/>
      </c>
      <c r="M67" s="56" t="str">
        <f t="shared" si="17"/>
        <v/>
      </c>
      <c r="N67" s="56" t="str">
        <f t="shared" si="14"/>
        <v/>
      </c>
      <c r="O67" s="56">
        <f>IF(A66=$D$8,SUM($O$25:O66),IF(A66&gt;$D$8," ",$N$5*$D$6))</f>
        <v>0</v>
      </c>
      <c r="P67" s="59" t="str">
        <f>IF(A66=$D$8,XIRR(H$24:H66,C$24:C66),"")</f>
        <v/>
      </c>
      <c r="Q67" s="56" t="str">
        <f t="shared" si="13"/>
        <v/>
      </c>
      <c r="R67" s="56">
        <f t="shared" si="5"/>
        <v>16161.34539537134</v>
      </c>
      <c r="S67" s="21">
        <f t="shared" ca="1" si="6"/>
        <v>2028</v>
      </c>
      <c r="T67" s="21">
        <f t="shared" ca="1" si="7"/>
        <v>366</v>
      </c>
      <c r="U67" s="21">
        <f t="shared" ca="1" si="8"/>
        <v>10</v>
      </c>
      <c r="V67" s="60">
        <f t="shared" ca="1" si="9"/>
        <v>9</v>
      </c>
      <c r="W67" s="61">
        <f t="shared" ca="1" si="10"/>
        <v>21</v>
      </c>
    </row>
    <row r="68" spans="1:23" x14ac:dyDescent="0.25">
      <c r="A68" s="58">
        <f t="shared" si="1"/>
        <v>44</v>
      </c>
      <c r="B68" s="55">
        <f t="shared" ca="1" si="20"/>
        <v>46978</v>
      </c>
      <c r="C68" s="55">
        <f t="shared" ca="1" si="3"/>
        <v>46975</v>
      </c>
      <c r="D68" s="58">
        <f t="shared" ca="1" si="4"/>
        <v>31</v>
      </c>
      <c r="E68" s="56">
        <f t="shared" si="19"/>
        <v>211054.83646247844</v>
      </c>
      <c r="F68" s="56">
        <f>IF(A67=$D$8,SUM($F$24:F67),IF(A67&gt;$D$8+1,"",PPMT($D$9/12,A68,$D$8,-$D$6)))</f>
        <v>10628.498818971811</v>
      </c>
      <c r="G68" s="56">
        <f>IF(A67=$D$8,SUM($G$24:G67),IF(A67&gt;$D$8+1,"",IPMT($D$9/12,A68,$D$8,-$D$6)))</f>
        <v>5532.8465763995291</v>
      </c>
      <c r="H68" s="56">
        <f>IF(A67=$D$8,SUM($H$25:H67),IF(A67&gt;$D$8,"",F68+G68+O68))</f>
        <v>16161.34539537134</v>
      </c>
      <c r="I68" s="56" t="str">
        <f t="shared" si="21"/>
        <v/>
      </c>
      <c r="J68" s="56" t="str">
        <f t="shared" si="22"/>
        <v/>
      </c>
      <c r="K68" s="56" t="s">
        <v>144</v>
      </c>
      <c r="L68" s="56" t="str">
        <f t="shared" si="23"/>
        <v/>
      </c>
      <c r="M68" s="56" t="str">
        <f t="shared" si="17"/>
        <v/>
      </c>
      <c r="N68" s="56" t="str">
        <f t="shared" si="14"/>
        <v/>
      </c>
      <c r="O68" s="56">
        <f>IF(A67=$D$8,SUM($O$25:O67),IF(A67&gt;$D$8," ",$N$5*$D$6))</f>
        <v>0</v>
      </c>
      <c r="P68" s="59" t="str">
        <f>IF(A67=$D$8,XIRR(H$24:H67,C$24:C67),"")</f>
        <v/>
      </c>
      <c r="Q68" s="56" t="str">
        <f t="shared" si="13"/>
        <v/>
      </c>
      <c r="R68" s="56">
        <f t="shared" si="5"/>
        <v>16161.34539537134</v>
      </c>
      <c r="S68" s="21">
        <f t="shared" ca="1" si="6"/>
        <v>2028</v>
      </c>
      <c r="T68" s="21">
        <f t="shared" ca="1" si="7"/>
        <v>366</v>
      </c>
      <c r="U68" s="21">
        <f t="shared" ca="1" si="8"/>
        <v>10</v>
      </c>
      <c r="V68" s="60">
        <f t="shared" ca="1" si="9"/>
        <v>9</v>
      </c>
      <c r="W68" s="61">
        <f t="shared" ca="1" si="10"/>
        <v>22</v>
      </c>
    </row>
    <row r="69" spans="1:23" x14ac:dyDescent="0.25">
      <c r="A69" s="58">
        <f t="shared" si="1"/>
        <v>45</v>
      </c>
      <c r="B69" s="55">
        <f t="shared" ca="1" si="20"/>
        <v>47009</v>
      </c>
      <c r="C69" s="55">
        <f t="shared" ca="1" si="3"/>
        <v>47006</v>
      </c>
      <c r="D69" s="58">
        <f t="shared" ca="1" si="4"/>
        <v>31</v>
      </c>
      <c r="E69" s="56">
        <f t="shared" si="19"/>
        <v>200161.0680271498</v>
      </c>
      <c r="F69" s="56">
        <f>IF(A68=$D$8,SUM($F$24:F68),IF(A68&gt;$D$8+1,"",PPMT($D$9/12,A69,$D$8,-$D$6)))</f>
        <v>10893.76843532865</v>
      </c>
      <c r="G69" s="56">
        <f>IF(A68=$D$8,SUM($G$24:G68),IF(A68&gt;$D$8+1,"",IPMT($D$9/12,A69,$D$8,-$D$6)))</f>
        <v>5267.5769600426911</v>
      </c>
      <c r="H69" s="56">
        <f>IF(A68=$D$8,SUM($H$25:H68),IF(A68&gt;$D$8,"",F69+G69+O69))</f>
        <v>16161.34539537134</v>
      </c>
      <c r="I69" s="56" t="str">
        <f t="shared" si="21"/>
        <v/>
      </c>
      <c r="J69" s="56" t="str">
        <f t="shared" si="22"/>
        <v/>
      </c>
      <c r="K69" s="56" t="s">
        <v>144</v>
      </c>
      <c r="L69" s="56" t="str">
        <f t="shared" si="23"/>
        <v/>
      </c>
      <c r="M69" s="56" t="str">
        <f t="shared" si="17"/>
        <v/>
      </c>
      <c r="N69" s="56" t="str">
        <f t="shared" si="14"/>
        <v/>
      </c>
      <c r="O69" s="56">
        <f>IF(A68=$D$8,SUM($O$25:O68),IF(A68&gt;$D$8," ",$N$5*$D$6))</f>
        <v>0</v>
      </c>
      <c r="P69" s="59" t="str">
        <f>IF(A68=$D$8,XIRR(H$24:H68,C$24:C68),"")</f>
        <v/>
      </c>
      <c r="Q69" s="56" t="str">
        <f t="shared" si="13"/>
        <v/>
      </c>
      <c r="R69" s="56">
        <f t="shared" si="5"/>
        <v>16161.34539537134</v>
      </c>
      <c r="S69" s="21">
        <f t="shared" ca="1" si="6"/>
        <v>2028</v>
      </c>
      <c r="T69" s="21">
        <f t="shared" ca="1" si="7"/>
        <v>366</v>
      </c>
      <c r="U69" s="21">
        <f t="shared" ca="1" si="8"/>
        <v>10</v>
      </c>
      <c r="V69" s="60">
        <f t="shared" ca="1" si="9"/>
        <v>9</v>
      </c>
      <c r="W69" s="61">
        <f t="shared" ca="1" si="10"/>
        <v>22</v>
      </c>
    </row>
    <row r="70" spans="1:23" x14ac:dyDescent="0.25">
      <c r="A70" s="58">
        <f t="shared" si="1"/>
        <v>46</v>
      </c>
      <c r="B70" s="55">
        <f t="shared" ca="1" si="20"/>
        <v>47039</v>
      </c>
      <c r="C70" s="55">
        <f t="shared" ca="1" si="3"/>
        <v>47036</v>
      </c>
      <c r="D70" s="58">
        <f t="shared" ca="1" si="4"/>
        <v>30</v>
      </c>
      <c r="E70" s="56">
        <f t="shared" si="19"/>
        <v>188995.40928795608</v>
      </c>
      <c r="F70" s="56">
        <f>IF(A69=$D$8,SUM($F$24:F69),IF(A69&gt;$D$8+1,"",PPMT($D$9/12,A70,$D$8,-$D$6)))</f>
        <v>11165.658739193726</v>
      </c>
      <c r="G70" s="56">
        <f>IF(A69=$D$8,SUM($G$24:G69),IF(A69&gt;$D$8+1,"",IPMT($D$9/12,A70,$D$8,-$D$6)))</f>
        <v>4995.6866561776133</v>
      </c>
      <c r="H70" s="56">
        <f>IF(A69=$D$8,SUM($H$25:H69),IF(A69&gt;$D$8,"",F70+G70+O70))</f>
        <v>16161.34539537134</v>
      </c>
      <c r="I70" s="56" t="str">
        <f t="shared" si="21"/>
        <v/>
      </c>
      <c r="J70" s="56" t="str">
        <f t="shared" si="22"/>
        <v/>
      </c>
      <c r="K70" s="56" t="s">
        <v>144</v>
      </c>
      <c r="L70" s="56" t="str">
        <f t="shared" si="23"/>
        <v/>
      </c>
      <c r="M70" s="56" t="str">
        <f t="shared" si="17"/>
        <v/>
      </c>
      <c r="N70" s="56" t="str">
        <f t="shared" si="14"/>
        <v/>
      </c>
      <c r="O70" s="56">
        <f>IF(A69=$D$8,SUM($O$25:O69),IF(A69&gt;$D$8," ",$N$5*$D$6))</f>
        <v>0</v>
      </c>
      <c r="P70" s="59" t="str">
        <f>IF(A69=$D$8,XIRR(H$24:H69,C$24:C69),"")</f>
        <v/>
      </c>
      <c r="Q70" s="56" t="str">
        <f t="shared" si="13"/>
        <v/>
      </c>
      <c r="R70" s="56">
        <f t="shared" si="5"/>
        <v>16161.34539537134</v>
      </c>
      <c r="S70" s="21">
        <f t="shared" ca="1" si="6"/>
        <v>2028</v>
      </c>
      <c r="T70" s="21">
        <f t="shared" ca="1" si="7"/>
        <v>366</v>
      </c>
      <c r="U70" s="21">
        <f t="shared" ca="1" si="8"/>
        <v>10</v>
      </c>
      <c r="V70" s="60">
        <f t="shared" ca="1" si="9"/>
        <v>9</v>
      </c>
      <c r="W70" s="61">
        <f t="shared" ca="1" si="10"/>
        <v>21</v>
      </c>
    </row>
    <row r="71" spans="1:23" x14ac:dyDescent="0.25">
      <c r="A71" s="58">
        <f t="shared" si="1"/>
        <v>47</v>
      </c>
      <c r="B71" s="55">
        <f t="shared" ca="1" si="20"/>
        <v>47070</v>
      </c>
      <c r="C71" s="55">
        <f t="shared" ca="1" si="3"/>
        <v>47067</v>
      </c>
      <c r="D71" s="58">
        <f t="shared" ca="1" si="4"/>
        <v>31</v>
      </c>
      <c r="E71" s="56">
        <f t="shared" si="19"/>
        <v>177551.07431606331</v>
      </c>
      <c r="F71" s="56">
        <f>IF(A70=$D$8,SUM($F$24:F70),IF(A70&gt;$D$8+1,"",PPMT($D$9/12,A71,$D$8,-$D$6)))</f>
        <v>11444.334971892769</v>
      </c>
      <c r="G71" s="56">
        <f>IF(A70=$D$8,SUM($G$24:G70),IF(A70&gt;$D$8+1,"",IPMT($D$9/12,A71,$D$8,-$D$6)))</f>
        <v>4717.0104234785704</v>
      </c>
      <c r="H71" s="56">
        <f>IF(A70=$D$8,SUM($H$25:H70),IF(A70&gt;$D$8,"",F71+G71+O71))</f>
        <v>16161.34539537134</v>
      </c>
      <c r="I71" s="56" t="str">
        <f t="shared" si="21"/>
        <v/>
      </c>
      <c r="J71" s="56" t="str">
        <f t="shared" si="22"/>
        <v/>
      </c>
      <c r="K71" s="56" t="s">
        <v>144</v>
      </c>
      <c r="L71" s="56" t="str">
        <f t="shared" si="23"/>
        <v/>
      </c>
      <c r="M71" s="56" t="str">
        <f t="shared" si="17"/>
        <v/>
      </c>
      <c r="N71" s="56" t="str">
        <f t="shared" si="14"/>
        <v/>
      </c>
      <c r="O71" s="56">
        <f>IF(A70=$D$8,SUM($O$25:O70),IF(A70&gt;$D$8," ",$N$5*$D$6))</f>
        <v>0</v>
      </c>
      <c r="P71" s="59" t="str">
        <f>IF(A70=$D$8,XIRR(H$24:H70,C$24:C70),"")</f>
        <v/>
      </c>
      <c r="Q71" s="56" t="str">
        <f t="shared" si="13"/>
        <v/>
      </c>
      <c r="R71" s="56">
        <f t="shared" si="5"/>
        <v>16161.34539537134</v>
      </c>
      <c r="S71" s="21">
        <f t="shared" ca="1" si="6"/>
        <v>2028</v>
      </c>
      <c r="T71" s="21">
        <f t="shared" ca="1" si="7"/>
        <v>366</v>
      </c>
      <c r="U71" s="21">
        <f t="shared" ca="1" si="8"/>
        <v>10</v>
      </c>
      <c r="V71" s="60">
        <f t="shared" ca="1" si="9"/>
        <v>9</v>
      </c>
      <c r="W71" s="61">
        <f t="shared" ca="1" si="10"/>
        <v>22</v>
      </c>
    </row>
    <row r="72" spans="1:23" x14ac:dyDescent="0.25">
      <c r="A72" s="58">
        <f t="shared" si="1"/>
        <v>48</v>
      </c>
      <c r="B72" s="55">
        <f t="shared" ca="1" si="20"/>
        <v>47100</v>
      </c>
      <c r="C72" s="55">
        <f t="shared" ca="1" si="3"/>
        <v>47097</v>
      </c>
      <c r="D72" s="58">
        <f t="shared" ca="1" si="4"/>
        <v>30</v>
      </c>
      <c r="E72" s="56">
        <f t="shared" si="19"/>
        <v>165821.10781716372</v>
      </c>
      <c r="F72" s="56">
        <f>IF(A71=$D$8,SUM($F$24:F71),IF(A71&gt;$D$8+1,"",PPMT($D$9/12,A72,$D$8,-$D$6)))</f>
        <v>11729.966498899594</v>
      </c>
      <c r="G72" s="56">
        <f>IF(A71=$D$8,SUM($G$24:G71),IF(A71&gt;$D$8+1,"",IPMT($D$9/12,A72,$D$8,-$D$6)))</f>
        <v>4431.378896471746</v>
      </c>
      <c r="H72" s="56">
        <f>IF(A71=$D$8,SUM($H$25:H71),IF(A71&gt;$D$8,"",F72+G72+O72))</f>
        <v>16161.34539537134</v>
      </c>
      <c r="I72" s="56" t="str">
        <f t="shared" si="21"/>
        <v/>
      </c>
      <c r="J72" s="56" t="str">
        <f t="shared" si="22"/>
        <v/>
      </c>
      <c r="K72" s="56" t="s">
        <v>144</v>
      </c>
      <c r="L72" s="56" t="str">
        <f t="shared" si="23"/>
        <v/>
      </c>
      <c r="M72" s="56" t="str">
        <f t="shared" si="17"/>
        <v/>
      </c>
      <c r="N72" s="56" t="str">
        <f t="shared" si="14"/>
        <v/>
      </c>
      <c r="O72" s="56">
        <f>IF(A71=$D$8,SUM($O$25:O71),IF(A71&gt;$D$8," ",$N$5*$D$6))</f>
        <v>0</v>
      </c>
      <c r="P72" s="59" t="str">
        <f>IF(A71=$D$8,XIRR(H$24:H71,C$24:C71),"")</f>
        <v/>
      </c>
      <c r="Q72" s="56" t="str">
        <f t="shared" si="13"/>
        <v/>
      </c>
      <c r="R72" s="56">
        <f t="shared" si="5"/>
        <v>16161.34539537134</v>
      </c>
      <c r="S72" s="21">
        <f t="shared" ca="1" si="6"/>
        <v>2028</v>
      </c>
      <c r="T72" s="21">
        <f t="shared" ca="1" si="7"/>
        <v>366</v>
      </c>
      <c r="U72" s="21">
        <f t="shared" ca="1" si="8"/>
        <v>10</v>
      </c>
      <c r="V72" s="60">
        <f t="shared" ca="1" si="9"/>
        <v>9</v>
      </c>
      <c r="W72" s="61">
        <f t="shared" ca="1" si="10"/>
        <v>21</v>
      </c>
    </row>
    <row r="73" spans="1:23" x14ac:dyDescent="0.25">
      <c r="A73" s="58">
        <f t="shared" si="1"/>
        <v>49</v>
      </c>
      <c r="B73" s="55">
        <f t="shared" ca="1" si="20"/>
        <v>47131</v>
      </c>
      <c r="C73" s="55">
        <f t="shared" ca="1" si="3"/>
        <v>47128</v>
      </c>
      <c r="D73" s="58">
        <f t="shared" ca="1" si="4"/>
        <v>31</v>
      </c>
      <c r="E73" s="56">
        <f t="shared" si="19"/>
        <v>153798.38090439574</v>
      </c>
      <c r="F73" s="56">
        <f>IF(A72=$D$8,SUM($F$24:F72),IF(A72&gt;$D$8+1,"",PPMT($D$9/12,A73,$D$8,-$D$6)))</f>
        <v>12022.726912767963</v>
      </c>
      <c r="G73" s="56">
        <f>IF(A72=$D$8,SUM($G$24:G72),IF(A72&gt;$D$8+1,"",IPMT($D$9/12,A73,$D$8,-$D$6)))</f>
        <v>4138.6184826033777</v>
      </c>
      <c r="H73" s="56">
        <f>IF(A72=$D$8,SUM($H$25:H72),IF(A72&gt;$D$8,"",F73+G73+O73))</f>
        <v>16161.34539537134</v>
      </c>
      <c r="I73" s="56" t="str">
        <f t="shared" si="21"/>
        <v/>
      </c>
      <c r="J73" s="56">
        <f>IF($D$8&gt;A72,$N$9,IF(A72=48,SUM($J$24:J72)," "))</f>
        <v>0</v>
      </c>
      <c r="K73" s="56">
        <f>IF($D$8&gt;48,($O$8+$N$10*E72),IF($A$72=$D$8,$K$37+$K$24+$K$49+$K$61,""))</f>
        <v>0</v>
      </c>
      <c r="L73" s="56" t="str">
        <f t="shared" si="23"/>
        <v/>
      </c>
      <c r="M73" s="56" t="str">
        <f t="shared" si="17"/>
        <v/>
      </c>
      <c r="N73" s="56" t="str">
        <f t="shared" si="14"/>
        <v/>
      </c>
      <c r="O73" s="56">
        <f>IF(A72=$D$8,SUM($O$25:O72),IF(A72&gt;$D$8," ",$N$5*$D$6))</f>
        <v>0</v>
      </c>
      <c r="P73" s="59" t="str">
        <f>IF(A72=$D$8,XIRR(H$24:H72,C$24:C72),"")</f>
        <v/>
      </c>
      <c r="Q73" s="56" t="str">
        <f t="shared" si="13"/>
        <v/>
      </c>
      <c r="R73" s="56">
        <f t="shared" si="5"/>
        <v>16161.34539537134</v>
      </c>
      <c r="S73" s="21">
        <f t="shared" ca="1" si="6"/>
        <v>2029</v>
      </c>
      <c r="T73" s="21">
        <f t="shared" ca="1" si="7"/>
        <v>365</v>
      </c>
      <c r="U73" s="21">
        <f t="shared" ca="1" si="8"/>
        <v>10</v>
      </c>
      <c r="V73" s="60">
        <f t="shared" ca="1" si="9"/>
        <v>9</v>
      </c>
      <c r="W73" s="61">
        <f t="shared" ca="1" si="10"/>
        <v>22</v>
      </c>
    </row>
    <row r="74" spans="1:23" x14ac:dyDescent="0.25">
      <c r="A74" s="58">
        <f t="shared" si="1"/>
        <v>50</v>
      </c>
      <c r="B74" s="55">
        <f t="shared" ca="1" si="20"/>
        <v>47162</v>
      </c>
      <c r="C74" s="55">
        <f t="shared" ca="1" si="3"/>
        <v>47159</v>
      </c>
      <c r="D74" s="58">
        <f t="shared" ca="1" si="4"/>
        <v>31</v>
      </c>
      <c r="E74" s="56">
        <f t="shared" si="19"/>
        <v>141475.58676576329</v>
      </c>
      <c r="F74" s="56">
        <f>IF(A73=$D$8,SUM($F$24:F73),IF(A73&gt;$D$8+1,"",PPMT($D$9/12,A74,$D$8,-$D$6)))</f>
        <v>12322.794138632462</v>
      </c>
      <c r="G74" s="56">
        <f>IF(A73=$D$8,SUM($G$24:G73),IF(A73&gt;$D$8+1,"",IPMT($D$9/12,A74,$D$8,-$D$6)))</f>
        <v>3838.5512567388769</v>
      </c>
      <c r="H74" s="56">
        <f>IF(A73=$D$8,SUM($H$25:H73),IF(A73&gt;$D$8,"",F74+G74+O74))</f>
        <v>16161.34539537134</v>
      </c>
      <c r="I74" s="56" t="str">
        <f t="shared" si="21"/>
        <v/>
      </c>
      <c r="J74" s="56" t="str">
        <f t="shared" si="22"/>
        <v/>
      </c>
      <c r="K74" s="56" t="s">
        <v>144</v>
      </c>
      <c r="L74" s="56" t="str">
        <f t="shared" si="23"/>
        <v/>
      </c>
      <c r="M74" s="56" t="str">
        <f t="shared" si="17"/>
        <v/>
      </c>
      <c r="N74" s="56" t="str">
        <f t="shared" si="14"/>
        <v/>
      </c>
      <c r="O74" s="56">
        <f>IF(A73=$D$8,SUM($O$25:O73),IF(A73&gt;$D$8," ",$N$5*$D$6))</f>
        <v>0</v>
      </c>
      <c r="P74" s="59" t="str">
        <f>IF(A73=$D$8,XIRR(H$24:H73,C$24:C73),"")</f>
        <v/>
      </c>
      <c r="Q74" s="56" t="str">
        <f t="shared" si="13"/>
        <v/>
      </c>
      <c r="R74" s="56">
        <f t="shared" si="5"/>
        <v>16161.34539537134</v>
      </c>
      <c r="S74" s="21">
        <f t="shared" ca="1" si="6"/>
        <v>2029</v>
      </c>
      <c r="T74" s="21">
        <f t="shared" ca="1" si="7"/>
        <v>365</v>
      </c>
      <c r="U74" s="21">
        <f t="shared" ca="1" si="8"/>
        <v>10</v>
      </c>
      <c r="V74" s="60">
        <f t="shared" ca="1" si="9"/>
        <v>9</v>
      </c>
      <c r="W74" s="61">
        <f t="shared" ca="1" si="10"/>
        <v>22</v>
      </c>
    </row>
    <row r="75" spans="1:23" x14ac:dyDescent="0.25">
      <c r="A75" s="58">
        <f t="shared" si="1"/>
        <v>51</v>
      </c>
      <c r="B75" s="55">
        <f t="shared" ca="1" si="20"/>
        <v>47190</v>
      </c>
      <c r="C75" s="55">
        <f t="shared" ca="1" si="3"/>
        <v>47187</v>
      </c>
      <c r="D75" s="58">
        <f t="shared" ca="1" si="4"/>
        <v>28</v>
      </c>
      <c r="E75" s="56">
        <f t="shared" si="19"/>
        <v>128845.2362234208</v>
      </c>
      <c r="F75" s="56">
        <f>IF(A74=$D$8,SUM($F$24:F74),IF(A74&gt;$D$8+1,"",PPMT($D$9/12,A75,$D$8,-$D$6)))</f>
        <v>12630.350542342498</v>
      </c>
      <c r="G75" s="56">
        <f>IF(A74=$D$8,SUM($G$24:G74),IF(A74&gt;$D$8+1,"",IPMT($D$9/12,A75,$D$8,-$D$6)))</f>
        <v>3530.994853028842</v>
      </c>
      <c r="H75" s="56">
        <f>IF(A74=$D$8,SUM($H$25:H74),IF(A74&gt;$D$8,"",F75+G75+O75))</f>
        <v>16161.34539537134</v>
      </c>
      <c r="I75" s="56" t="str">
        <f t="shared" si="21"/>
        <v/>
      </c>
      <c r="J75" s="56" t="str">
        <f t="shared" si="22"/>
        <v/>
      </c>
      <c r="K75" s="56" t="s">
        <v>144</v>
      </c>
      <c r="L75" s="56" t="str">
        <f t="shared" si="23"/>
        <v/>
      </c>
      <c r="M75" s="56" t="str">
        <f t="shared" si="17"/>
        <v/>
      </c>
      <c r="N75" s="56" t="str">
        <f t="shared" si="14"/>
        <v/>
      </c>
      <c r="O75" s="56">
        <f>IF(A74=$D$8,SUM($O$25:O74),IF(A74&gt;$D$8," ",$N$5*$D$6))</f>
        <v>0</v>
      </c>
      <c r="P75" s="59" t="str">
        <f>IF(A74=$D$8,XIRR(H$24:H74,C$24:C74),"")</f>
        <v/>
      </c>
      <c r="Q75" s="56" t="str">
        <f t="shared" si="13"/>
        <v/>
      </c>
      <c r="R75" s="56">
        <f t="shared" si="5"/>
        <v>16161.34539537134</v>
      </c>
      <c r="S75" s="21">
        <f t="shared" ca="1" si="6"/>
        <v>2029</v>
      </c>
      <c r="T75" s="21">
        <f t="shared" ca="1" si="7"/>
        <v>365</v>
      </c>
      <c r="U75" s="21">
        <f t="shared" ca="1" si="8"/>
        <v>10</v>
      </c>
      <c r="V75" s="60">
        <f t="shared" ca="1" si="9"/>
        <v>9</v>
      </c>
      <c r="W75" s="61">
        <f t="shared" ca="1" si="10"/>
        <v>19</v>
      </c>
    </row>
    <row r="76" spans="1:23" x14ac:dyDescent="0.25">
      <c r="A76" s="58">
        <f t="shared" si="1"/>
        <v>52</v>
      </c>
      <c r="B76" s="55">
        <f t="shared" ca="1" si="20"/>
        <v>47221</v>
      </c>
      <c r="C76" s="55">
        <f t="shared" ca="1" si="3"/>
        <v>47218</v>
      </c>
      <c r="D76" s="58">
        <f t="shared" ca="1" si="4"/>
        <v>31</v>
      </c>
      <c r="E76" s="56">
        <f t="shared" si="19"/>
        <v>115899.65318212566</v>
      </c>
      <c r="F76" s="56">
        <f>IF(A75=$D$8,SUM($F$24:F75),IF(A75&gt;$D$8+1,"",PPMT($D$9/12,A76,$D$8,-$D$6)))</f>
        <v>12945.583041295131</v>
      </c>
      <c r="G76" s="56">
        <f>IF(A75=$D$8,SUM($G$24:G75),IF(A75&gt;$D$8+1,"",IPMT($D$9/12,A76,$D$8,-$D$6)))</f>
        <v>3215.7623540762102</v>
      </c>
      <c r="H76" s="56">
        <f>IF(A75=$D$8,SUM($H$25:H75),IF(A75&gt;$D$8,"",F76+G76+O76))</f>
        <v>16161.345395371342</v>
      </c>
      <c r="I76" s="56" t="str">
        <f t="shared" si="21"/>
        <v/>
      </c>
      <c r="J76" s="56" t="str">
        <f t="shared" si="22"/>
        <v/>
      </c>
      <c r="K76" s="56" t="s">
        <v>144</v>
      </c>
      <c r="L76" s="56" t="str">
        <f t="shared" si="23"/>
        <v/>
      </c>
      <c r="M76" s="56" t="str">
        <f t="shared" si="17"/>
        <v/>
      </c>
      <c r="N76" s="56" t="str">
        <f t="shared" si="14"/>
        <v/>
      </c>
      <c r="O76" s="56">
        <f>IF(A75=$D$8,SUM($O$25:O75),IF(A75&gt;$D$8," ",$N$5*$D$6))</f>
        <v>0</v>
      </c>
      <c r="P76" s="59" t="str">
        <f>IF(A75=$D$8,XIRR(H$24:H75,C$24:C75),"")</f>
        <v/>
      </c>
      <c r="Q76" s="56" t="str">
        <f t="shared" si="13"/>
        <v/>
      </c>
      <c r="R76" s="56">
        <f t="shared" si="5"/>
        <v>16161.345395371342</v>
      </c>
      <c r="S76" s="21">
        <f t="shared" ca="1" si="6"/>
        <v>2029</v>
      </c>
      <c r="T76" s="21">
        <f t="shared" ca="1" si="7"/>
        <v>365</v>
      </c>
      <c r="U76" s="21">
        <f t="shared" ca="1" si="8"/>
        <v>10</v>
      </c>
      <c r="V76" s="60">
        <f t="shared" ca="1" si="9"/>
        <v>9</v>
      </c>
      <c r="W76" s="61">
        <f t="shared" ca="1" si="10"/>
        <v>22</v>
      </c>
    </row>
    <row r="77" spans="1:23" x14ac:dyDescent="0.25">
      <c r="A77" s="58">
        <f t="shared" si="1"/>
        <v>53</v>
      </c>
      <c r="B77" s="55">
        <f t="shared" ca="1" si="20"/>
        <v>47251</v>
      </c>
      <c r="C77" s="55">
        <f t="shared" ca="1" si="3"/>
        <v>47248</v>
      </c>
      <c r="D77" s="58">
        <f t="shared" ca="1" si="4"/>
        <v>30</v>
      </c>
      <c r="E77" s="56">
        <f t="shared" si="19"/>
        <v>102630.96996409155</v>
      </c>
      <c r="F77" s="56">
        <f>IF(A76=$D$8,SUM($F$24:F76),IF(A76&gt;$D$8+1,"",PPMT($D$9/12,A77,$D$8,-$D$6)))</f>
        <v>13268.683218034121</v>
      </c>
      <c r="G77" s="56">
        <f>IF(A76=$D$8,SUM($G$24:G76),IF(A76&gt;$D$8+1,"",IPMT($D$9/12,A77,$D$8,-$D$6)))</f>
        <v>2892.6621773372194</v>
      </c>
      <c r="H77" s="56">
        <f>IF(A76=$D$8,SUM($H$25:H76),IF(A76&gt;$D$8,"",F77+G77+O77))</f>
        <v>16161.34539537134</v>
      </c>
      <c r="I77" s="56" t="str">
        <f t="shared" si="21"/>
        <v/>
      </c>
      <c r="J77" s="56" t="str">
        <f t="shared" si="22"/>
        <v/>
      </c>
      <c r="K77" s="56" t="s">
        <v>144</v>
      </c>
      <c r="L77" s="56" t="str">
        <f t="shared" si="23"/>
        <v/>
      </c>
      <c r="M77" s="56" t="str">
        <f t="shared" si="17"/>
        <v/>
      </c>
      <c r="N77" s="56" t="str">
        <f t="shared" si="14"/>
        <v/>
      </c>
      <c r="O77" s="56">
        <f>IF(A76=$D$8,SUM($O$25:O76),IF(A76&gt;$D$8," ",$N$5*$D$6))</f>
        <v>0</v>
      </c>
      <c r="P77" s="59" t="str">
        <f>IF(A76=$D$8,XIRR(H$24:H76,C$24:C76),"")</f>
        <v/>
      </c>
      <c r="Q77" s="56" t="str">
        <f t="shared" si="13"/>
        <v/>
      </c>
      <c r="R77" s="56">
        <f t="shared" si="5"/>
        <v>16161.34539537134</v>
      </c>
      <c r="S77" s="21">
        <f t="shared" ca="1" si="6"/>
        <v>2029</v>
      </c>
      <c r="T77" s="21">
        <f t="shared" ca="1" si="7"/>
        <v>365</v>
      </c>
      <c r="U77" s="21">
        <f t="shared" ca="1" si="8"/>
        <v>10</v>
      </c>
      <c r="V77" s="60">
        <f t="shared" ca="1" si="9"/>
        <v>9</v>
      </c>
      <c r="W77" s="61">
        <f t="shared" ca="1" si="10"/>
        <v>21</v>
      </c>
    </row>
    <row r="78" spans="1:23" x14ac:dyDescent="0.25">
      <c r="A78" s="58">
        <f t="shared" si="1"/>
        <v>54</v>
      </c>
      <c r="B78" s="55">
        <f t="shared" ca="1" si="20"/>
        <v>47282</v>
      </c>
      <c r="C78" s="55">
        <f t="shared" ca="1" si="3"/>
        <v>47279</v>
      </c>
      <c r="D78" s="58">
        <f t="shared" ca="1" si="4"/>
        <v>31</v>
      </c>
      <c r="E78" s="56">
        <f t="shared" si="19"/>
        <v>89031.122527407322</v>
      </c>
      <c r="F78" s="56">
        <f>IF(A77=$D$8,SUM($F$24:F77),IF(A77&gt;$D$8+1,"",PPMT($D$9/12,A78,$D$8,-$D$6)))</f>
        <v>13599.847436684222</v>
      </c>
      <c r="G78" s="56">
        <f>IF(A77=$D$8,SUM($G$24:G77),IF(A77&gt;$D$8+1,"",IPMT($D$9/12,A78,$D$8,-$D$6)))</f>
        <v>2561.4979586871177</v>
      </c>
      <c r="H78" s="56">
        <f>IF(A77=$D$8,SUM($H$25:H77),IF(A77&gt;$D$8,"",F78+G78+O78))</f>
        <v>16161.34539537134</v>
      </c>
      <c r="I78" s="56" t="str">
        <f t="shared" si="21"/>
        <v/>
      </c>
      <c r="J78" s="56" t="str">
        <f t="shared" si="22"/>
        <v/>
      </c>
      <c r="K78" s="56" t="s">
        <v>144</v>
      </c>
      <c r="L78" s="56" t="str">
        <f t="shared" si="23"/>
        <v/>
      </c>
      <c r="M78" s="56" t="str">
        <f t="shared" si="17"/>
        <v/>
      </c>
      <c r="N78" s="56" t="str">
        <f t="shared" si="14"/>
        <v/>
      </c>
      <c r="O78" s="56">
        <f>IF(A77=$D$8,SUM($O$25:O77),IF(A77&gt;$D$8," ",$N$5*$D$6))</f>
        <v>0</v>
      </c>
      <c r="P78" s="59" t="str">
        <f>IF(A77=$D$8,XIRR(H$24:H77,C$24:C77),"")</f>
        <v/>
      </c>
      <c r="Q78" s="56" t="str">
        <f t="shared" si="13"/>
        <v/>
      </c>
      <c r="R78" s="56">
        <f t="shared" si="5"/>
        <v>16161.34539537134</v>
      </c>
      <c r="S78" s="21">
        <f t="shared" ca="1" si="6"/>
        <v>2029</v>
      </c>
      <c r="T78" s="21">
        <f t="shared" ca="1" si="7"/>
        <v>365</v>
      </c>
      <c r="U78" s="21">
        <f t="shared" ca="1" si="8"/>
        <v>10</v>
      </c>
      <c r="V78" s="60">
        <f t="shared" ca="1" si="9"/>
        <v>9</v>
      </c>
      <c r="W78" s="61">
        <f t="shared" ca="1" si="10"/>
        <v>22</v>
      </c>
    </row>
    <row r="79" spans="1:23" x14ac:dyDescent="0.25">
      <c r="A79" s="58">
        <f t="shared" si="1"/>
        <v>55</v>
      </c>
      <c r="B79" s="55">
        <f t="shared" ca="1" si="20"/>
        <v>47312</v>
      </c>
      <c r="C79" s="55">
        <f t="shared" ca="1" si="3"/>
        <v>47309</v>
      </c>
      <c r="D79" s="58">
        <f t="shared" ca="1" si="4"/>
        <v>30</v>
      </c>
      <c r="E79" s="56">
        <f t="shared" si="19"/>
        <v>75091.845565115858</v>
      </c>
      <c r="F79" s="56">
        <f>IF(A78=$D$8,SUM($F$24:F78),IF(A78&gt;$D$8+1,"",PPMT($D$9/12,A79,$D$8,-$D$6)))</f>
        <v>13939.276962291467</v>
      </c>
      <c r="G79" s="56">
        <f>IF(A78=$D$8,SUM($G$24:G78),IF(A78&gt;$D$8+1,"",IPMT($D$9/12,A79,$D$8,-$D$6)))</f>
        <v>2222.0684330798745</v>
      </c>
      <c r="H79" s="56">
        <f>IF(A78=$D$8,SUM($H$25:H78),IF(A78&gt;$D$8,"",F79+G79+O79))</f>
        <v>16161.345395371342</v>
      </c>
      <c r="I79" s="56" t="str">
        <f t="shared" si="21"/>
        <v/>
      </c>
      <c r="J79" s="56" t="str">
        <f t="shared" si="22"/>
        <v/>
      </c>
      <c r="K79" s="56" t="s">
        <v>144</v>
      </c>
      <c r="L79" s="56" t="str">
        <f t="shared" si="23"/>
        <v/>
      </c>
      <c r="M79" s="56" t="str">
        <f t="shared" si="17"/>
        <v/>
      </c>
      <c r="N79" s="56" t="str">
        <f t="shared" si="14"/>
        <v/>
      </c>
      <c r="O79" s="56">
        <f>IF(A78=$D$8,SUM($O$25:O78),IF(A78&gt;$D$8," ",$N$5*$D$6))</f>
        <v>0</v>
      </c>
      <c r="P79" s="59" t="str">
        <f>IF(A78=$D$8,XIRR(H$24:H78,C$24:C78),"")</f>
        <v/>
      </c>
      <c r="Q79" s="56" t="str">
        <f t="shared" si="13"/>
        <v/>
      </c>
      <c r="R79" s="56">
        <f t="shared" si="5"/>
        <v>16161.345395371342</v>
      </c>
      <c r="S79" s="21">
        <f t="shared" ca="1" si="6"/>
        <v>2029</v>
      </c>
      <c r="T79" s="21">
        <f t="shared" ca="1" si="7"/>
        <v>365</v>
      </c>
      <c r="U79" s="21">
        <f t="shared" ca="1" si="8"/>
        <v>10</v>
      </c>
      <c r="V79" s="60">
        <f t="shared" ca="1" si="9"/>
        <v>9</v>
      </c>
      <c r="W79" s="61">
        <f t="shared" ca="1" si="10"/>
        <v>21</v>
      </c>
    </row>
    <row r="80" spans="1:23" x14ac:dyDescent="0.25">
      <c r="A80" s="58">
        <f t="shared" si="1"/>
        <v>56</v>
      </c>
      <c r="B80" s="55">
        <f t="shared" ca="1" si="20"/>
        <v>47343</v>
      </c>
      <c r="C80" s="55">
        <f t="shared" ca="1" si="3"/>
        <v>47340</v>
      </c>
      <c r="D80" s="58">
        <f t="shared" ca="1" si="4"/>
        <v>31</v>
      </c>
      <c r="E80" s="56">
        <f t="shared" si="19"/>
        <v>60804.667481973869</v>
      </c>
      <c r="F80" s="56">
        <f>IF(A79=$D$8,SUM($F$24:F79),IF(A79&gt;$D$8+1,"",PPMT($D$9/12,A80,$D$8,-$D$6)))</f>
        <v>14287.178083141991</v>
      </c>
      <c r="G80" s="56">
        <f>IF(A79=$D$8,SUM($G$24:G79),IF(A79&gt;$D$8+1,"",IPMT($D$9/12,A80,$D$8,-$D$6)))</f>
        <v>1874.1673122293496</v>
      </c>
      <c r="H80" s="56">
        <f>IF(A79=$D$8,SUM($H$25:H79),IF(A79&gt;$D$8,"",F80+G80+O80))</f>
        <v>16161.34539537134</v>
      </c>
      <c r="I80" s="56" t="str">
        <f t="shared" si="21"/>
        <v/>
      </c>
      <c r="J80" s="56" t="str">
        <f t="shared" si="22"/>
        <v/>
      </c>
      <c r="K80" s="56" t="s">
        <v>144</v>
      </c>
      <c r="L80" s="56" t="str">
        <f t="shared" si="23"/>
        <v/>
      </c>
      <c r="M80" s="56" t="str">
        <f t="shared" si="17"/>
        <v/>
      </c>
      <c r="N80" s="56" t="str">
        <f t="shared" si="14"/>
        <v/>
      </c>
      <c r="O80" s="56">
        <f>IF(A79=$D$8,SUM($O$25:O79),IF(A79&gt;$D$8," ",$N$5*$D$6))</f>
        <v>0</v>
      </c>
      <c r="P80" s="59" t="str">
        <f>IF(A79=$D$8,XIRR(H$24:H79,C$24:C79),"")</f>
        <v/>
      </c>
      <c r="Q80" s="56" t="str">
        <f t="shared" si="13"/>
        <v/>
      </c>
      <c r="R80" s="56">
        <f t="shared" si="5"/>
        <v>16161.34539537134</v>
      </c>
      <c r="S80" s="21">
        <f t="shared" ca="1" si="6"/>
        <v>2029</v>
      </c>
      <c r="T80" s="21">
        <f t="shared" ca="1" si="7"/>
        <v>365</v>
      </c>
      <c r="U80" s="21">
        <f t="shared" ca="1" si="8"/>
        <v>10</v>
      </c>
      <c r="V80" s="60">
        <f t="shared" ca="1" si="9"/>
        <v>9</v>
      </c>
      <c r="W80" s="61">
        <f t="shared" ca="1" si="10"/>
        <v>22</v>
      </c>
    </row>
    <row r="81" spans="1:23" x14ac:dyDescent="0.25">
      <c r="A81" s="58">
        <f t="shared" si="1"/>
        <v>57</v>
      </c>
      <c r="B81" s="55">
        <f t="shared" ca="1" si="20"/>
        <v>47374</v>
      </c>
      <c r="C81" s="55">
        <f t="shared" ca="1" si="3"/>
        <v>47371</v>
      </c>
      <c r="D81" s="58">
        <f t="shared" ca="1" si="4"/>
        <v>31</v>
      </c>
      <c r="E81" s="56">
        <f t="shared" si="19"/>
        <v>46160.905245840127</v>
      </c>
      <c r="F81" s="56">
        <f>IF(A80=$D$8,SUM($F$24:F80),IF(A80&gt;$D$8+1,"",PPMT($D$9/12,A81,$D$8,-$D$6)))</f>
        <v>14643.762236133742</v>
      </c>
      <c r="G81" s="56">
        <f>IF(A80=$D$8,SUM($G$24:G80),IF(A80&gt;$D$8+1,"",IPMT($D$9/12,A81,$D$8,-$D$6)))</f>
        <v>1517.5831592375973</v>
      </c>
      <c r="H81" s="56">
        <f>IF(A80=$D$8,SUM($H$25:H80),IF(A80&gt;$D$8,"",F81+G81+O81))</f>
        <v>16161.34539537134</v>
      </c>
      <c r="I81" s="56" t="str">
        <f t="shared" si="21"/>
        <v/>
      </c>
      <c r="J81" s="56" t="str">
        <f t="shared" si="22"/>
        <v/>
      </c>
      <c r="K81" s="56" t="s">
        <v>144</v>
      </c>
      <c r="L81" s="56" t="str">
        <f t="shared" si="23"/>
        <v/>
      </c>
      <c r="M81" s="56" t="str">
        <f t="shared" si="17"/>
        <v/>
      </c>
      <c r="N81" s="56" t="str">
        <f t="shared" si="14"/>
        <v/>
      </c>
      <c r="O81" s="56">
        <f>IF(A80=$D$8,SUM($O$25:O80),IF(A80&gt;$D$8," ",$N$5*$D$6))</f>
        <v>0</v>
      </c>
      <c r="P81" s="59" t="str">
        <f>IF(A80=$D$8,XIRR(H$24:H80,C$24:C80),"")</f>
        <v/>
      </c>
      <c r="Q81" s="56" t="str">
        <f t="shared" si="13"/>
        <v/>
      </c>
      <c r="R81" s="56">
        <f t="shared" si="5"/>
        <v>16161.34539537134</v>
      </c>
      <c r="S81" s="21">
        <f t="shared" ca="1" si="6"/>
        <v>2029</v>
      </c>
      <c r="T81" s="21">
        <f t="shared" ca="1" si="7"/>
        <v>365</v>
      </c>
      <c r="U81" s="21">
        <f t="shared" ca="1" si="8"/>
        <v>10</v>
      </c>
      <c r="V81" s="60">
        <f t="shared" ca="1" si="9"/>
        <v>9</v>
      </c>
      <c r="W81" s="61">
        <f t="shared" ca="1" si="10"/>
        <v>22</v>
      </c>
    </row>
    <row r="82" spans="1:23" x14ac:dyDescent="0.25">
      <c r="A82" s="58">
        <f t="shared" si="1"/>
        <v>58</v>
      </c>
      <c r="B82" s="55">
        <f t="shared" ca="1" si="20"/>
        <v>47404</v>
      </c>
      <c r="C82" s="55">
        <f t="shared" ca="1" si="3"/>
        <v>47401</v>
      </c>
      <c r="D82" s="58">
        <f t="shared" ca="1" si="4"/>
        <v>30</v>
      </c>
      <c r="E82" s="56">
        <f t="shared" si="19"/>
        <v>31151.65911056288</v>
      </c>
      <c r="F82" s="56">
        <f>IF(A81=$D$8,SUM($F$24:F81),IF(A81&gt;$D$8+1,"",PPMT($D$9/12,A82,$D$8,-$D$6)))</f>
        <v>15009.246135277248</v>
      </c>
      <c r="G82" s="56">
        <f>IF(A81=$D$8,SUM($G$24:G81),IF(A81&gt;$D$8+1,"",IPMT($D$9/12,A82,$D$8,-$D$6)))</f>
        <v>1152.0992600940929</v>
      </c>
      <c r="H82" s="56">
        <f>IF(A81=$D$8,SUM($H$25:H81),IF(A81&gt;$D$8,"",F82+G82+O82))</f>
        <v>16161.345395371342</v>
      </c>
      <c r="I82" s="56" t="str">
        <f t="shared" si="21"/>
        <v/>
      </c>
      <c r="J82" s="56" t="str">
        <f t="shared" si="22"/>
        <v/>
      </c>
      <c r="K82" s="56" t="s">
        <v>144</v>
      </c>
      <c r="L82" s="56" t="str">
        <f t="shared" si="23"/>
        <v/>
      </c>
      <c r="M82" s="56" t="str">
        <f t="shared" si="17"/>
        <v/>
      </c>
      <c r="N82" s="56" t="str">
        <f t="shared" si="14"/>
        <v/>
      </c>
      <c r="O82" s="56">
        <f>IF(A81=$D$8,SUM($O$25:O81),IF(A81&gt;$D$8," ",$N$5*$D$6))</f>
        <v>0</v>
      </c>
      <c r="P82" s="59" t="str">
        <f>IF(A81=$D$8,XIRR(H$24:H81,C$24:C81),"")</f>
        <v/>
      </c>
      <c r="Q82" s="56" t="str">
        <f t="shared" si="13"/>
        <v/>
      </c>
      <c r="R82" s="56">
        <f t="shared" si="5"/>
        <v>16161.345395371342</v>
      </c>
      <c r="S82" s="21">
        <f t="shared" ca="1" si="6"/>
        <v>2029</v>
      </c>
      <c r="T82" s="21">
        <f t="shared" ca="1" si="7"/>
        <v>365</v>
      </c>
      <c r="U82" s="21">
        <f t="shared" ca="1" si="8"/>
        <v>10</v>
      </c>
      <c r="V82" s="60">
        <f t="shared" ca="1" si="9"/>
        <v>9</v>
      </c>
      <c r="W82" s="61">
        <f t="shared" ca="1" si="10"/>
        <v>21</v>
      </c>
    </row>
    <row r="83" spans="1:23" x14ac:dyDescent="0.25">
      <c r="A83" s="58">
        <f t="shared" si="1"/>
        <v>59</v>
      </c>
      <c r="B83" s="55">
        <f t="shared" ca="1" si="20"/>
        <v>47435</v>
      </c>
      <c r="C83" s="55">
        <f t="shared" ca="1" si="3"/>
        <v>47432</v>
      </c>
      <c r="D83" s="58">
        <f t="shared" ca="1" si="4"/>
        <v>31</v>
      </c>
      <c r="E83" s="56">
        <f t="shared" si="19"/>
        <v>15767.807207159338</v>
      </c>
      <c r="F83" s="56">
        <f>IF(A82=$D$8,SUM($F$24:F82),IF(A82&gt;$D$8+1,"",PPMT($D$9/12,A83,$D$8,-$D$6)))</f>
        <v>15383.851903403542</v>
      </c>
      <c r="G83" s="56">
        <f>IF(A82=$D$8,SUM($G$24:G82),IF(A82&gt;$D$8+1,"",IPMT($D$9/12,A83,$D$8,-$D$6)))</f>
        <v>777.49349196779804</v>
      </c>
      <c r="H83" s="56">
        <f>IF(A82=$D$8,SUM($H$25:H82),IF(A82&gt;$D$8,"",F83+G83+O83))</f>
        <v>16161.34539537134</v>
      </c>
      <c r="I83" s="56" t="str">
        <f t="shared" si="21"/>
        <v/>
      </c>
      <c r="J83" s="56" t="str">
        <f t="shared" si="22"/>
        <v/>
      </c>
      <c r="K83" s="56" t="s">
        <v>144</v>
      </c>
      <c r="L83" s="56" t="str">
        <f t="shared" si="23"/>
        <v/>
      </c>
      <c r="M83" s="56" t="str">
        <f t="shared" si="17"/>
        <v/>
      </c>
      <c r="N83" s="56" t="str">
        <f t="shared" si="14"/>
        <v/>
      </c>
      <c r="O83" s="56">
        <f>IF(A82=$D$8,SUM($O$25:O82),IF(A82&gt;$D$8," ",$N$5*$D$6))</f>
        <v>0</v>
      </c>
      <c r="P83" s="59" t="str">
        <f>IF(A82=$D$8,XIRR(H$24:H82,C$24:C82),"")</f>
        <v/>
      </c>
      <c r="Q83" s="56" t="str">
        <f t="shared" si="13"/>
        <v/>
      </c>
      <c r="R83" s="56">
        <f t="shared" si="5"/>
        <v>16161.34539537134</v>
      </c>
      <c r="S83" s="21">
        <f t="shared" ca="1" si="6"/>
        <v>2029</v>
      </c>
      <c r="T83" s="21">
        <f t="shared" ca="1" si="7"/>
        <v>365</v>
      </c>
      <c r="U83" s="21">
        <f t="shared" ca="1" si="8"/>
        <v>10</v>
      </c>
      <c r="V83" s="60">
        <f t="shared" ca="1" si="9"/>
        <v>9</v>
      </c>
      <c r="W83" s="61">
        <f t="shared" ca="1" si="10"/>
        <v>22</v>
      </c>
    </row>
    <row r="84" spans="1:23" x14ac:dyDescent="0.25">
      <c r="A84" s="58">
        <f t="shared" si="1"/>
        <v>60</v>
      </c>
      <c r="B84" s="55">
        <f t="shared" ca="1" si="20"/>
        <v>47465</v>
      </c>
      <c r="C84" s="55">
        <f t="shared" ca="1" si="3"/>
        <v>47462</v>
      </c>
      <c r="D84" s="58">
        <f t="shared" ca="1" si="4"/>
        <v>30</v>
      </c>
      <c r="E84" s="56">
        <f t="shared" si="19"/>
        <v>1.2732925824820995E-11</v>
      </c>
      <c r="F84" s="56">
        <f>IF(A83=$D$8,SUM($F$24:F83),IF(A83&gt;$D$8+1,"",PPMT($D$9/12,A84,$D$8,-$D$6)))</f>
        <v>15767.807207159325</v>
      </c>
      <c r="G84" s="56">
        <f>IF(A83=$D$8,SUM($G$24:G83),IF(A83&gt;$D$8+1,"",IPMT($D$9/12,A84,$D$8,-$D$6)))</f>
        <v>393.5381882120181</v>
      </c>
      <c r="H84" s="56">
        <f>IF(A83=$D$8,SUM($H$25:H83),IF(A83&gt;$D$8,"",F84+G84+O84))</f>
        <v>16161.345395371343</v>
      </c>
      <c r="I84" s="56" t="str">
        <f t="shared" si="21"/>
        <v/>
      </c>
      <c r="J84" s="56" t="str">
        <f t="shared" si="22"/>
        <v/>
      </c>
      <c r="K84" s="56" t="s">
        <v>144</v>
      </c>
      <c r="L84" s="56" t="str">
        <f t="shared" si="23"/>
        <v/>
      </c>
      <c r="M84" s="56" t="str">
        <f t="shared" si="17"/>
        <v/>
      </c>
      <c r="N84" s="56" t="str">
        <f t="shared" si="14"/>
        <v/>
      </c>
      <c r="O84" s="56">
        <f>IF(A83=$D$8,SUM($O$25:O83),IF(A83&gt;$D$8," ",$N$5*$D$6))</f>
        <v>0</v>
      </c>
      <c r="P84" s="59" t="str">
        <f>IF(A83=$D$8,XIRR(H$24:H83,C$24:C83),"")</f>
        <v/>
      </c>
      <c r="Q84" s="56" t="str">
        <f t="shared" si="13"/>
        <v/>
      </c>
      <c r="R84" s="56">
        <f t="shared" si="5"/>
        <v>16161.345395371343</v>
      </c>
      <c r="S84" s="21">
        <f t="shared" ca="1" si="6"/>
        <v>2029</v>
      </c>
      <c r="T84" s="21">
        <f t="shared" ca="1" si="7"/>
        <v>365</v>
      </c>
      <c r="U84" s="21">
        <f t="shared" ca="1" si="8"/>
        <v>10</v>
      </c>
      <c r="V84" s="60">
        <f t="shared" ca="1" si="9"/>
        <v>9</v>
      </c>
      <c r="W84" s="61">
        <f t="shared" ca="1" si="10"/>
        <v>21</v>
      </c>
    </row>
    <row r="85" spans="1:23" x14ac:dyDescent="0.25">
      <c r="A85" s="58" t="str">
        <f t="shared" si="1"/>
        <v/>
      </c>
      <c r="B85" s="55" t="str">
        <f t="shared" si="20"/>
        <v/>
      </c>
      <c r="C85" s="55" t="str">
        <f t="shared" ref="C85:C89" ca="1" si="24">IF(B85=$D$10,B85-1,(IF(B85&gt;$D$10," ",B85)))</f>
        <v xml:space="preserve"> </v>
      </c>
      <c r="D85" s="58" t="str">
        <f t="shared" ref="D85:D100" si="25">IF(A85&gt;$D$8,"",C85-C84)</f>
        <v/>
      </c>
      <c r="E85" s="56" t="str">
        <f t="shared" si="19"/>
        <v/>
      </c>
      <c r="F85" s="56">
        <f>IF(A84=$D$8,SUM($F$24:F84),IF(A84&gt;$D$8+1,"",PPMT($D$9/12,A85,$D$8,-$D$6)))</f>
        <v>500000.00000000006</v>
      </c>
      <c r="G85" s="56">
        <f>IF(A84=$D$8,SUM($G$24:G84),IF(A84&gt;$D$8+1,"",IPMT($D$9/12,A85,$D$8,-$D$6)))</f>
        <v>469680.72372228047</v>
      </c>
      <c r="H85" s="56">
        <f>IF(A84=$D$8,SUM($H$25:H84),IF(A84&gt;$D$8,"",F85+G85+O85))</f>
        <v>969680.72372227954</v>
      </c>
      <c r="I85" s="62">
        <f t="shared" si="21"/>
        <v>0</v>
      </c>
      <c r="J85" s="56">
        <f>IF($D$8&gt;A84,$N$9,IF(A84=60,SUM($J$24:J84)," "))</f>
        <v>0</v>
      </c>
      <c r="K85" s="56">
        <f>IF($D$8&gt;60,($O$8+$N$10*E84),IF($A$84=$D$8,$K$37+$K$24+$K$49+$K$61+$K$73,""))</f>
        <v>0</v>
      </c>
      <c r="L85" s="62">
        <f t="shared" si="23"/>
        <v>0</v>
      </c>
      <c r="M85" s="56">
        <f t="shared" si="17"/>
        <v>14750</v>
      </c>
      <c r="N85" s="56">
        <f t="shared" si="14"/>
        <v>0</v>
      </c>
      <c r="O85" s="56">
        <f>IF(A84=$D$8,SUM($O$25:O84),IF(A84&gt;$D$8," ",$N$5*$D$6))</f>
        <v>0</v>
      </c>
      <c r="P85" s="59">
        <f ca="1">IF(A84=$D$8,XIRR(H$24:H84,C$24:C84),"")</f>
        <v>0.36705784201622005</v>
      </c>
      <c r="Q85" s="56">
        <f t="shared" si="13"/>
        <v>984430.72372228047</v>
      </c>
      <c r="R85" s="56">
        <f t="shared" ca="1" si="5"/>
        <v>1968861.814502402</v>
      </c>
      <c r="S85" s="21" t="e">
        <f t="shared" ca="1" si="6"/>
        <v>#VALUE!</v>
      </c>
      <c r="T85" s="21" t="e">
        <f t="shared" ca="1" si="7"/>
        <v>#VALUE!</v>
      </c>
      <c r="U85" s="21" t="e">
        <f t="shared" ref="U85:U108" ca="1" si="26">IF(C85="","",DAY(C85))</f>
        <v>#VALUE!</v>
      </c>
      <c r="V85" s="60" t="e">
        <f t="shared" ref="V85:V108" ca="1" si="27">U85-1</f>
        <v>#VALUE!</v>
      </c>
      <c r="W85" s="61" t="e">
        <f t="shared" ref="W85:W148" ca="1" si="28">D85-V85</f>
        <v>#VALUE!</v>
      </c>
    </row>
    <row r="86" spans="1:23" x14ac:dyDescent="0.25">
      <c r="A86" s="58" t="str">
        <f t="shared" si="1"/>
        <v/>
      </c>
      <c r="B86" s="55" t="str">
        <f t="shared" si="20"/>
        <v/>
      </c>
      <c r="C86" s="55" t="str">
        <f t="shared" ca="1" si="24"/>
        <v xml:space="preserve"> </v>
      </c>
      <c r="D86" s="58" t="str">
        <f t="shared" si="25"/>
        <v/>
      </c>
      <c r="E86" s="56" t="str">
        <f t="shared" si="19"/>
        <v/>
      </c>
      <c r="F86" s="56" t="str">
        <f>IF(AND(A85="",A87=""),"",IF(A86="",ROUND(SUM($F$25:F85),2),IF(A86=$D$8,$E$24-ROUND(SUM($F$25:F85),2),ROUND($E$24/$D$8,2))))</f>
        <v/>
      </c>
      <c r="G86" s="56" t="str">
        <f>IF(A85=$D$8,ROUND(SUM($G$25:G85),2),IF(A86&gt;$D$8,"",IF(T86&lt;&gt;T85,ROUND(SUM(V86*$D$9*E85/T86,W86*$D$9*E85/T85),2),ROUND(E85*$D$9*D86/T85,2))))</f>
        <v/>
      </c>
      <c r="H86" s="56" t="str">
        <f>IF(A85=$D$8,SUM($H$25:H85),IF(A85&gt;$D$8,"",F86+G86))</f>
        <v/>
      </c>
      <c r="I86" s="56" t="str">
        <f t="shared" si="21"/>
        <v/>
      </c>
      <c r="J86" s="56" t="str">
        <f t="shared" ref="J86:J96" si="29">IF(A85=$D$8,$J$24,"")</f>
        <v/>
      </c>
      <c r="K86" s="56"/>
      <c r="L86" s="56" t="str">
        <f t="shared" si="23"/>
        <v/>
      </c>
      <c r="M86" s="56" t="str">
        <f t="shared" si="17"/>
        <v/>
      </c>
      <c r="N86" s="56" t="str">
        <f t="shared" si="14"/>
        <v/>
      </c>
      <c r="O86" s="56" t="str">
        <f>IF(A85=$D$8,SUM($O$25:O85),IF(A85&gt;D9," ",$N$5*$D$6))</f>
        <v xml:space="preserve"> </v>
      </c>
      <c r="P86" s="59" t="str">
        <f>IF(A85=$D$8,XIRR(H$24:H85,C$24:C85),"")</f>
        <v/>
      </c>
      <c r="Q86" s="56" t="str">
        <f t="shared" si="13"/>
        <v/>
      </c>
      <c r="R86" s="56">
        <f t="shared" si="5"/>
        <v>0</v>
      </c>
      <c r="S86" s="21" t="e">
        <f t="shared" ca="1" si="6"/>
        <v>#VALUE!</v>
      </c>
      <c r="T86" s="21" t="e">
        <f t="shared" ca="1" si="7"/>
        <v>#VALUE!</v>
      </c>
      <c r="U86" s="21" t="e">
        <f t="shared" ca="1" si="26"/>
        <v>#VALUE!</v>
      </c>
      <c r="V86" s="60" t="e">
        <f t="shared" ca="1" si="27"/>
        <v>#VALUE!</v>
      </c>
      <c r="W86" s="61" t="e">
        <f t="shared" ca="1" si="28"/>
        <v>#VALUE!</v>
      </c>
    </row>
    <row r="87" spans="1:23" x14ac:dyDescent="0.25">
      <c r="A87" s="58" t="str">
        <f t="shared" si="1"/>
        <v/>
      </c>
      <c r="B87" s="55" t="str">
        <f t="shared" si="20"/>
        <v/>
      </c>
      <c r="C87" s="55" t="str">
        <f t="shared" ca="1" si="24"/>
        <v xml:space="preserve"> </v>
      </c>
      <c r="D87" s="58" t="str">
        <f t="shared" si="25"/>
        <v/>
      </c>
      <c r="E87" s="56" t="str">
        <f t="shared" si="19"/>
        <v/>
      </c>
      <c r="F87" s="56" t="str">
        <f>IF(AND(A86="",A88=""),"",IF(A87="",ROUND(SUM($F$25:F86),2),IF(A87=$D$8,$E$24-ROUND(SUM($F$25:F86),2),ROUND($E$24/$D$8,2))))</f>
        <v/>
      </c>
      <c r="G87" s="56" t="str">
        <f>IF(A86=$D$8,ROUND(SUM($G$25:G86),2),IF(A87&gt;$D$8,"",IF(T87&lt;&gt;T86,ROUND(SUM(V87*$D$9*E86/T87,W87*$D$9*E86/T86),2),ROUND(E86*$D$9*D87/T86,2))))</f>
        <v/>
      </c>
      <c r="H87" s="56" t="str">
        <f>IF(A86=$D$8,SUM($H$25:H86),IF(A86&gt;$D$8,"",F87+G87))</f>
        <v/>
      </c>
      <c r="I87" s="56" t="str">
        <f t="shared" si="21"/>
        <v/>
      </c>
      <c r="J87" s="56" t="str">
        <f t="shared" si="29"/>
        <v/>
      </c>
      <c r="K87" s="56"/>
      <c r="L87" s="56" t="str">
        <f t="shared" si="23"/>
        <v/>
      </c>
      <c r="M87" s="56" t="str">
        <f t="shared" si="17"/>
        <v/>
      </c>
      <c r="N87" s="56" t="str">
        <f t="shared" si="14"/>
        <v/>
      </c>
      <c r="O87" s="56"/>
      <c r="P87" s="59" t="str">
        <f>IF(A86=$D$8,XIRR(H$24:H86,C$24:C86),"")</f>
        <v/>
      </c>
      <c r="Q87" s="56" t="str">
        <f t="shared" si="13"/>
        <v/>
      </c>
      <c r="R87" s="56">
        <f t="shared" si="5"/>
        <v>0</v>
      </c>
      <c r="S87" s="21" t="e">
        <f t="shared" ca="1" si="6"/>
        <v>#VALUE!</v>
      </c>
      <c r="T87" s="21" t="e">
        <f t="shared" ca="1" si="7"/>
        <v>#VALUE!</v>
      </c>
      <c r="U87" s="21" t="e">
        <f t="shared" ca="1" si="26"/>
        <v>#VALUE!</v>
      </c>
      <c r="V87" s="60" t="e">
        <f t="shared" ca="1" si="27"/>
        <v>#VALUE!</v>
      </c>
      <c r="W87" s="61" t="e">
        <f t="shared" ca="1" si="28"/>
        <v>#VALUE!</v>
      </c>
    </row>
    <row r="88" spans="1:23" x14ac:dyDescent="0.25">
      <c r="A88" s="58" t="str">
        <f t="shared" si="1"/>
        <v/>
      </c>
      <c r="B88" s="55" t="str">
        <f t="shared" si="20"/>
        <v/>
      </c>
      <c r="C88" s="55" t="str">
        <f t="shared" ca="1" si="24"/>
        <v xml:space="preserve"> </v>
      </c>
      <c r="D88" s="58" t="str">
        <f t="shared" si="25"/>
        <v/>
      </c>
      <c r="E88" s="56" t="str">
        <f t="shared" si="19"/>
        <v/>
      </c>
      <c r="F88" s="56" t="str">
        <f>IF(AND(A87="",A89=""),"",IF(A88="",ROUND(SUM($F$25:F87),2),IF(A88=$D$8,$E$24-ROUND(SUM($F$25:F87),2),ROUND($E$24/$D$8,2))))</f>
        <v/>
      </c>
      <c r="G88" s="56" t="str">
        <f>IF(A87=$D$8,ROUND(SUM($G$25:G87),2),IF(A88&gt;$D$8,"",IF(T88&lt;&gt;T87,ROUND(SUM(V88*$D$9*E87/T88,W88*$D$9*E87/T87),2),ROUND(E87*$D$9*D88/T87,2))))</f>
        <v/>
      </c>
      <c r="H88" s="56" t="str">
        <f>IF(A87=$D$8,SUM($H$25:H87),IF(A87&gt;$D$8,"",F88+G88))</f>
        <v/>
      </c>
      <c r="I88" s="56" t="str">
        <f t="shared" si="21"/>
        <v/>
      </c>
      <c r="J88" s="56" t="str">
        <f t="shared" si="29"/>
        <v/>
      </c>
      <c r="K88" s="56"/>
      <c r="L88" s="56" t="str">
        <f t="shared" si="23"/>
        <v/>
      </c>
      <c r="M88" s="56" t="str">
        <f t="shared" si="17"/>
        <v/>
      </c>
      <c r="N88" s="56" t="str">
        <f t="shared" si="14"/>
        <v/>
      </c>
      <c r="O88" s="56"/>
      <c r="P88" s="59" t="str">
        <f>IF(A87=$D$8,XIRR(H$24:H87,C$24:C87),"")</f>
        <v/>
      </c>
      <c r="Q88" s="56" t="str">
        <f t="shared" si="13"/>
        <v/>
      </c>
      <c r="R88" s="56">
        <f t="shared" si="5"/>
        <v>0</v>
      </c>
      <c r="S88" s="21" t="e">
        <f t="shared" ca="1" si="6"/>
        <v>#VALUE!</v>
      </c>
      <c r="T88" s="21" t="e">
        <f t="shared" ca="1" si="7"/>
        <v>#VALUE!</v>
      </c>
      <c r="U88" s="21" t="e">
        <f t="shared" ca="1" si="26"/>
        <v>#VALUE!</v>
      </c>
      <c r="V88" s="60" t="e">
        <f t="shared" ca="1" si="27"/>
        <v>#VALUE!</v>
      </c>
      <c r="W88" s="61" t="e">
        <f t="shared" ca="1" si="28"/>
        <v>#VALUE!</v>
      </c>
    </row>
    <row r="89" spans="1:23" x14ac:dyDescent="0.25">
      <c r="A89" s="58" t="str">
        <f t="shared" si="1"/>
        <v/>
      </c>
      <c r="B89" s="55" t="str">
        <f t="shared" si="20"/>
        <v/>
      </c>
      <c r="C89" s="55" t="str">
        <f t="shared" ca="1" si="24"/>
        <v xml:space="preserve"> </v>
      </c>
      <c r="D89" s="58" t="str">
        <f t="shared" si="25"/>
        <v/>
      </c>
      <c r="E89" s="56" t="str">
        <f t="shared" si="19"/>
        <v/>
      </c>
      <c r="F89" s="56" t="str">
        <f>IF(AND(A88="",A90=""),"",IF(A89="",ROUND(SUM($F$25:F88),2),IF(A89=$D$8,$E$24-ROUND(SUM($F$25:F88),2),ROUND($E$24/$D$8,2))))</f>
        <v/>
      </c>
      <c r="G89" s="56" t="str">
        <f>IF(A88=$D$8,ROUND(SUM($G$25:G88),2),IF(A89&gt;$D$8,"",IF(T89&lt;&gt;T88,ROUND(SUM(V89*$D$9*E88/T89,W89*$D$9*E88/T88),2),ROUND(E88*$D$9*D89/T88,2))))</f>
        <v/>
      </c>
      <c r="H89" s="56" t="str">
        <f>IF(A88=$D$8,SUM($H$25:H88),IF(A88&gt;$D$8,"",F89+G89))</f>
        <v/>
      </c>
      <c r="I89" s="56" t="str">
        <f t="shared" si="21"/>
        <v/>
      </c>
      <c r="J89" s="56" t="str">
        <f t="shared" si="29"/>
        <v/>
      </c>
      <c r="K89" s="56"/>
      <c r="L89" s="56" t="str">
        <f t="shared" si="23"/>
        <v/>
      </c>
      <c r="M89" s="56" t="str">
        <f t="shared" si="17"/>
        <v/>
      </c>
      <c r="N89" s="56" t="str">
        <f t="shared" si="14"/>
        <v/>
      </c>
      <c r="O89" s="56"/>
      <c r="P89" s="59" t="str">
        <f>IF(A88=$D$8,XIRR(H$24:H88,C$24:C88),"")</f>
        <v/>
      </c>
      <c r="Q89" s="56" t="str">
        <f t="shared" si="13"/>
        <v/>
      </c>
      <c r="R89" s="56">
        <f t="shared" si="5"/>
        <v>0</v>
      </c>
      <c r="S89" s="21" t="e">
        <f t="shared" ca="1" si="6"/>
        <v>#VALUE!</v>
      </c>
      <c r="T89" s="21" t="e">
        <f t="shared" ca="1" si="7"/>
        <v>#VALUE!</v>
      </c>
      <c r="U89" s="21" t="e">
        <f t="shared" ca="1" si="26"/>
        <v>#VALUE!</v>
      </c>
      <c r="V89" s="60" t="e">
        <f t="shared" ca="1" si="27"/>
        <v>#VALUE!</v>
      </c>
      <c r="W89" s="61" t="e">
        <f t="shared" ca="1" si="28"/>
        <v>#VALUE!</v>
      </c>
    </row>
    <row r="90" spans="1:23" x14ac:dyDescent="0.25">
      <c r="A90" s="58" t="str">
        <f t="shared" ref="A90:A153" si="30">IF(A89&lt;$D$8,A89+1,"")</f>
        <v/>
      </c>
      <c r="B90" s="55" t="str">
        <f t="shared" si="20"/>
        <v/>
      </c>
      <c r="C90" s="55" t="str">
        <f t="shared" ref="C90:C153" ca="1" si="31">IF(B90=$D$10,B90-1,(IF(B90&gt;$D$10," ",B90)))</f>
        <v xml:space="preserve"> </v>
      </c>
      <c r="D90" s="58" t="str">
        <f t="shared" si="25"/>
        <v/>
      </c>
      <c r="E90" s="56" t="str">
        <f t="shared" si="19"/>
        <v/>
      </c>
      <c r="F90" s="56" t="str">
        <f>IF(AND(A89="",A91=""),"",IF(A90="",ROUND(SUM($F$25:F89),2),IF(A90=$D$8,$E$24-ROUND(SUM($F$25:F89),2),ROUND($E$24/$D$8,2))))</f>
        <v/>
      </c>
      <c r="G90" s="56" t="str">
        <f>IF(A89=$D$8,ROUND(SUM($G$25:G89),2),IF(A90&gt;$D$8,"",IF(T90&lt;&gt;T89,ROUND(SUM(V90*$D$9*E89/T90,W90*$D$9*E89/T89),2),ROUND(E89*$D$9*D90/T89,2))))</f>
        <v/>
      </c>
      <c r="H90" s="56" t="str">
        <f>IF(A89=$D$8,SUM($H$25:H89),IF(A89&gt;$D$8,"",F90+G90))</f>
        <v/>
      </c>
      <c r="I90" s="56" t="str">
        <f t="shared" si="21"/>
        <v/>
      </c>
      <c r="J90" s="56" t="str">
        <f t="shared" si="29"/>
        <v/>
      </c>
      <c r="K90" s="56"/>
      <c r="L90" s="56" t="str">
        <f t="shared" si="23"/>
        <v/>
      </c>
      <c r="M90" s="56" t="str">
        <f t="shared" si="17"/>
        <v/>
      </c>
      <c r="N90" s="56" t="str">
        <f t="shared" si="14"/>
        <v/>
      </c>
      <c r="O90" s="56"/>
      <c r="P90" s="59" t="str">
        <f>IF(A89=$D$8,XIRR(H$24:H89,C$24:C89),"")</f>
        <v/>
      </c>
      <c r="Q90" s="56" t="str">
        <f t="shared" si="13"/>
        <v/>
      </c>
      <c r="R90" s="56">
        <f t="shared" ref="R90:R153" si="32">SUM(H90:Q90)</f>
        <v>0</v>
      </c>
      <c r="S90" s="21" t="e">
        <f t="shared" ref="S90:S153" ca="1" si="33">IF(C90="","",YEAR(C90))</f>
        <v>#VALUE!</v>
      </c>
      <c r="T90" s="21" t="e">
        <f t="shared" ref="T90:T153" ca="1" si="34">IF(OR(S90=2024,S90=2028,S90=2016,S90=2020,S90=2024,S90=2028,S90=2032,S90=2036,S90=2040),366,365)</f>
        <v>#VALUE!</v>
      </c>
      <c r="U90" s="21" t="e">
        <f t="shared" ca="1" si="26"/>
        <v>#VALUE!</v>
      </c>
      <c r="V90" s="60" t="e">
        <f t="shared" ca="1" si="27"/>
        <v>#VALUE!</v>
      </c>
      <c r="W90" s="61" t="e">
        <f t="shared" ca="1" si="28"/>
        <v>#VALUE!</v>
      </c>
    </row>
    <row r="91" spans="1:23" x14ac:dyDescent="0.25">
      <c r="A91" s="58" t="str">
        <f t="shared" si="30"/>
        <v/>
      </c>
      <c r="B91" s="55" t="str">
        <f t="shared" si="20"/>
        <v/>
      </c>
      <c r="C91" s="55" t="str">
        <f t="shared" ca="1" si="31"/>
        <v xml:space="preserve"> </v>
      </c>
      <c r="D91" s="58" t="str">
        <f t="shared" si="25"/>
        <v/>
      </c>
      <c r="E91" s="56" t="str">
        <f t="shared" si="19"/>
        <v/>
      </c>
      <c r="F91" s="56" t="str">
        <f>IF(AND(A90="",A92=""),"",IF(A91="",ROUND(SUM($F$25:F90),2),IF(A91=$D$8,$E$24-ROUND(SUM($F$25:F90),2),ROUND($E$24/$D$8,2))))</f>
        <v/>
      </c>
      <c r="G91" s="56" t="str">
        <f>IF(A90=$D$8,ROUND(SUM($G$25:G90),2),IF(A91&gt;$D$8,"",IF(T91&lt;&gt;T90,ROUND(SUM(V91*$D$9*E90/T91,W91*$D$9*E90/T90),2),ROUND(E90*$D$9*D91/T90,2))))</f>
        <v/>
      </c>
      <c r="H91" s="56" t="str">
        <f>IF(A90=$D$8,SUM($H$25:H90),IF(A90&gt;$D$8,"",F91+G91))</f>
        <v/>
      </c>
      <c r="I91" s="56" t="str">
        <f t="shared" si="21"/>
        <v/>
      </c>
      <c r="J91" s="56" t="str">
        <f t="shared" si="29"/>
        <v/>
      </c>
      <c r="K91" s="56"/>
      <c r="L91" s="56" t="str">
        <f t="shared" si="23"/>
        <v/>
      </c>
      <c r="M91" s="56" t="str">
        <f t="shared" si="17"/>
        <v/>
      </c>
      <c r="N91" s="56" t="str">
        <f t="shared" si="14"/>
        <v/>
      </c>
      <c r="O91" s="56"/>
      <c r="P91" s="59" t="str">
        <f>IF(A90=$D$8,XIRR(H$24:H90,C$24:C90),"")</f>
        <v/>
      </c>
      <c r="Q91" s="56" t="str">
        <f t="shared" ref="Q91:Q154" si="35">IF(A90=$D$8,G91+M91+F91+I91+J91+K91+L91+N91+O91,"")</f>
        <v/>
      </c>
      <c r="R91" s="56">
        <f t="shared" si="32"/>
        <v>0</v>
      </c>
      <c r="S91" s="21" t="e">
        <f t="shared" ca="1" si="33"/>
        <v>#VALUE!</v>
      </c>
      <c r="T91" s="21" t="e">
        <f t="shared" ca="1" si="34"/>
        <v>#VALUE!</v>
      </c>
      <c r="U91" s="21" t="e">
        <f t="shared" ca="1" si="26"/>
        <v>#VALUE!</v>
      </c>
      <c r="V91" s="60" t="e">
        <f t="shared" ca="1" si="27"/>
        <v>#VALUE!</v>
      </c>
      <c r="W91" s="61" t="e">
        <f t="shared" ca="1" si="28"/>
        <v>#VALUE!</v>
      </c>
    </row>
    <row r="92" spans="1:23" x14ac:dyDescent="0.25">
      <c r="A92" s="58" t="str">
        <f t="shared" si="30"/>
        <v/>
      </c>
      <c r="B92" s="55" t="str">
        <f t="shared" si="20"/>
        <v/>
      </c>
      <c r="C92" s="55" t="str">
        <f t="shared" ca="1" si="31"/>
        <v xml:space="preserve"> </v>
      </c>
      <c r="D92" s="58" t="str">
        <f t="shared" si="25"/>
        <v/>
      </c>
      <c r="E92" s="56" t="str">
        <f t="shared" si="19"/>
        <v/>
      </c>
      <c r="F92" s="56" t="str">
        <f>IF(AND(A91="",A93=""),"",IF(A92="",ROUND(SUM($F$25:F91),2),IF(A92=$D$8,$E$24-ROUND(SUM($F$25:F91),2),ROUND($E$24/$D$8,2))))</f>
        <v/>
      </c>
      <c r="G92" s="56" t="str">
        <f>IF(A91=$D$8,ROUND(SUM($G$25:G91),2),IF(A92&gt;$D$8,"",IF(T92&lt;&gt;T91,ROUND(SUM(V92*$D$9*E91/T92,W92*$D$9*E91/T91),2),ROUND(E91*$D$9*D92/T91,2))))</f>
        <v/>
      </c>
      <c r="H92" s="56" t="str">
        <f>IF(A91=$D$8,SUM($H$25:H91),IF(A91&gt;$D$8,"",F92+G92))</f>
        <v/>
      </c>
      <c r="I92" s="56" t="str">
        <f t="shared" si="21"/>
        <v/>
      </c>
      <c r="J92" s="56" t="str">
        <f t="shared" si="29"/>
        <v/>
      </c>
      <c r="K92" s="56"/>
      <c r="L92" s="56" t="str">
        <f t="shared" si="23"/>
        <v/>
      </c>
      <c r="M92" s="56" t="str">
        <f t="shared" ref="M92:M155" si="36">IF(A91=$D$8,$M$24,"")</f>
        <v/>
      </c>
      <c r="N92" s="56" t="str">
        <f t="shared" si="14"/>
        <v/>
      </c>
      <c r="O92" s="56"/>
      <c r="P92" s="59" t="str">
        <f>IF(A91=$D$8,XIRR(H$24:H91,C$24:C91),"")</f>
        <v/>
      </c>
      <c r="Q92" s="56" t="str">
        <f t="shared" si="35"/>
        <v/>
      </c>
      <c r="R92" s="56">
        <f t="shared" si="32"/>
        <v>0</v>
      </c>
      <c r="S92" s="21" t="e">
        <f t="shared" ca="1" si="33"/>
        <v>#VALUE!</v>
      </c>
      <c r="T92" s="21" t="e">
        <f t="shared" ca="1" si="34"/>
        <v>#VALUE!</v>
      </c>
      <c r="U92" s="21" t="e">
        <f t="shared" ca="1" si="26"/>
        <v>#VALUE!</v>
      </c>
      <c r="V92" s="60" t="e">
        <f t="shared" ca="1" si="27"/>
        <v>#VALUE!</v>
      </c>
      <c r="W92" s="61" t="e">
        <f t="shared" ca="1" si="28"/>
        <v>#VALUE!</v>
      </c>
    </row>
    <row r="93" spans="1:23" x14ac:dyDescent="0.25">
      <c r="A93" s="58" t="str">
        <f t="shared" si="30"/>
        <v/>
      </c>
      <c r="B93" s="55" t="str">
        <f t="shared" si="20"/>
        <v/>
      </c>
      <c r="C93" s="55" t="str">
        <f t="shared" ca="1" si="31"/>
        <v xml:space="preserve"> </v>
      </c>
      <c r="D93" s="58" t="str">
        <f t="shared" si="25"/>
        <v/>
      </c>
      <c r="E93" s="56" t="str">
        <f t="shared" si="19"/>
        <v/>
      </c>
      <c r="F93" s="56" t="str">
        <f>IF(AND(A92="",A94=""),"",IF(A93="",ROUND(SUM($F$25:F92),2),IF(A93=$D$8,$E$24-ROUND(SUM($F$25:F92),2),ROUND($E$24/$D$8,2))))</f>
        <v/>
      </c>
      <c r="G93" s="56" t="str">
        <f>IF(A92=$D$8,ROUND(SUM($G$25:G92),2),IF(A93&gt;$D$8,"",IF(T93&lt;&gt;T92,ROUND(SUM(V93*$D$9*E92/T93,W93*$D$9*E92/T92),2),ROUND(E92*$D$9*D93/T92,2))))</f>
        <v/>
      </c>
      <c r="H93" s="56" t="str">
        <f>IF(A92=$D$8,SUM($H$25:H92),IF(A92&gt;$D$8,"",F93+G93))</f>
        <v/>
      </c>
      <c r="I93" s="56" t="str">
        <f t="shared" si="21"/>
        <v/>
      </c>
      <c r="J93" s="56" t="str">
        <f t="shared" si="29"/>
        <v/>
      </c>
      <c r="K93" s="56"/>
      <c r="L93" s="56" t="str">
        <f t="shared" si="23"/>
        <v/>
      </c>
      <c r="M93" s="56" t="str">
        <f t="shared" si="36"/>
        <v/>
      </c>
      <c r="N93" s="56" t="str">
        <f t="shared" ref="N93:N156" si="37">IF(A92=$D$8,$N$24,"")</f>
        <v/>
      </c>
      <c r="O93" s="56"/>
      <c r="P93" s="59" t="str">
        <f>IF(A92=$D$8,XIRR(H$24:H92,C$24:C92),"")</f>
        <v/>
      </c>
      <c r="Q93" s="56" t="str">
        <f t="shared" si="35"/>
        <v/>
      </c>
      <c r="R93" s="56">
        <f t="shared" si="32"/>
        <v>0</v>
      </c>
      <c r="S93" s="21" t="e">
        <f t="shared" ca="1" si="33"/>
        <v>#VALUE!</v>
      </c>
      <c r="T93" s="21" t="e">
        <f t="shared" ca="1" si="34"/>
        <v>#VALUE!</v>
      </c>
      <c r="U93" s="21" t="e">
        <f t="shared" ca="1" si="26"/>
        <v>#VALUE!</v>
      </c>
      <c r="V93" s="60" t="e">
        <f t="shared" ca="1" si="27"/>
        <v>#VALUE!</v>
      </c>
      <c r="W93" s="61" t="e">
        <f t="shared" ca="1" si="28"/>
        <v>#VALUE!</v>
      </c>
    </row>
    <row r="94" spans="1:23" x14ac:dyDescent="0.25">
      <c r="A94" s="58" t="str">
        <f t="shared" si="30"/>
        <v/>
      </c>
      <c r="B94" s="55" t="str">
        <f t="shared" si="20"/>
        <v/>
      </c>
      <c r="C94" s="55" t="str">
        <f t="shared" ca="1" si="31"/>
        <v xml:space="preserve"> </v>
      </c>
      <c r="D94" s="58" t="str">
        <f t="shared" si="25"/>
        <v/>
      </c>
      <c r="E94" s="56" t="str">
        <f t="shared" si="19"/>
        <v/>
      </c>
      <c r="F94" s="56" t="str">
        <f>IF(AND(A93="",A95=""),"",IF(A94="",ROUND(SUM($F$25:F93),2),IF(A94=$D$8,$E$24-ROUND(SUM($F$25:F93),2),ROUND($E$24/$D$8,2))))</f>
        <v/>
      </c>
      <c r="G94" s="56" t="str">
        <f>IF(A93=$D$8,ROUND(SUM($G$25:G93),2),IF(A94&gt;$D$8,"",IF(T94&lt;&gt;T93,ROUND(SUM(V94*$D$9*E93/T94,W94*$D$9*E93/T93),2),ROUND(E93*$D$9*D94/T93,2))))</f>
        <v/>
      </c>
      <c r="H94" s="56" t="str">
        <f>IF(A93=$D$8,SUM($H$25:H93),IF(A93&gt;$D$8,"",F94+G94))</f>
        <v/>
      </c>
      <c r="I94" s="56" t="str">
        <f t="shared" si="21"/>
        <v/>
      </c>
      <c r="J94" s="56" t="str">
        <f t="shared" si="29"/>
        <v/>
      </c>
      <c r="K94" s="56"/>
      <c r="L94" s="56" t="str">
        <f t="shared" si="23"/>
        <v/>
      </c>
      <c r="M94" s="56" t="str">
        <f t="shared" si="36"/>
        <v/>
      </c>
      <c r="N94" s="56" t="str">
        <f t="shared" si="37"/>
        <v/>
      </c>
      <c r="O94" s="56"/>
      <c r="P94" s="59" t="str">
        <f>IF(A93=$D$8,XIRR(H$24:H93,C$24:C93),"")</f>
        <v/>
      </c>
      <c r="Q94" s="56" t="str">
        <f t="shared" si="35"/>
        <v/>
      </c>
      <c r="R94" s="56">
        <f t="shared" si="32"/>
        <v>0</v>
      </c>
      <c r="S94" s="21" t="e">
        <f t="shared" ca="1" si="33"/>
        <v>#VALUE!</v>
      </c>
      <c r="T94" s="21" t="e">
        <f t="shared" ca="1" si="34"/>
        <v>#VALUE!</v>
      </c>
      <c r="U94" s="21" t="e">
        <f t="shared" ca="1" si="26"/>
        <v>#VALUE!</v>
      </c>
      <c r="V94" s="60" t="e">
        <f t="shared" ca="1" si="27"/>
        <v>#VALUE!</v>
      </c>
      <c r="W94" s="61" t="e">
        <f t="shared" ca="1" si="28"/>
        <v>#VALUE!</v>
      </c>
    </row>
    <row r="95" spans="1:23" x14ac:dyDescent="0.25">
      <c r="A95" s="58" t="str">
        <f t="shared" si="30"/>
        <v/>
      </c>
      <c r="B95" s="55" t="str">
        <f t="shared" si="20"/>
        <v/>
      </c>
      <c r="C95" s="55" t="str">
        <f t="shared" ca="1" si="31"/>
        <v xml:space="preserve"> </v>
      </c>
      <c r="D95" s="58" t="str">
        <f t="shared" si="25"/>
        <v/>
      </c>
      <c r="E95" s="56" t="str">
        <f t="shared" si="19"/>
        <v/>
      </c>
      <c r="F95" s="56" t="str">
        <f>IF(AND(A94="",A96=""),"",IF(A95="",ROUND(SUM($F$25:F94),2),IF(A95=$D$8,$E$24-ROUND(SUM($F$25:F94),2),ROUND($E$24/$D$8,2))))</f>
        <v/>
      </c>
      <c r="G95" s="56" t="str">
        <f>IF(A94=$D$8,ROUND(SUM($G$25:G94),2),IF(A95&gt;$D$8,"",IF(T95&lt;&gt;T94,ROUND(SUM(V95*$D$9*E94/T95,W95*$D$9*E94/T94),2),ROUND(E94*$D$9*D95/T94,2))))</f>
        <v/>
      </c>
      <c r="H95" s="56" t="str">
        <f>IF(A94=$D$8,SUM($H$25:H94),IF(A94&gt;$D$8,"",F95+G95))</f>
        <v/>
      </c>
      <c r="I95" s="56" t="str">
        <f t="shared" si="21"/>
        <v/>
      </c>
      <c r="J95" s="56" t="str">
        <f t="shared" si="29"/>
        <v/>
      </c>
      <c r="K95" s="56"/>
      <c r="L95" s="56" t="str">
        <f t="shared" si="23"/>
        <v/>
      </c>
      <c r="M95" s="56" t="str">
        <f t="shared" si="36"/>
        <v/>
      </c>
      <c r="N95" s="56" t="str">
        <f t="shared" si="37"/>
        <v/>
      </c>
      <c r="O95" s="56"/>
      <c r="P95" s="59" t="str">
        <f>IF(A94=$D$8,XIRR(H$24:H94,C$24:C94),"")</f>
        <v/>
      </c>
      <c r="Q95" s="56" t="str">
        <f t="shared" si="35"/>
        <v/>
      </c>
      <c r="R95" s="56">
        <f t="shared" si="32"/>
        <v>0</v>
      </c>
      <c r="S95" s="21" t="e">
        <f t="shared" ca="1" si="33"/>
        <v>#VALUE!</v>
      </c>
      <c r="T95" s="21" t="e">
        <f t="shared" ca="1" si="34"/>
        <v>#VALUE!</v>
      </c>
      <c r="U95" s="21" t="e">
        <f t="shared" ca="1" si="26"/>
        <v>#VALUE!</v>
      </c>
      <c r="V95" s="60" t="e">
        <f t="shared" ca="1" si="27"/>
        <v>#VALUE!</v>
      </c>
      <c r="W95" s="61" t="e">
        <f t="shared" ca="1" si="28"/>
        <v>#VALUE!</v>
      </c>
    </row>
    <row r="96" spans="1:23" x14ac:dyDescent="0.25">
      <c r="A96" s="58" t="str">
        <f t="shared" si="30"/>
        <v/>
      </c>
      <c r="B96" s="55" t="str">
        <f t="shared" si="20"/>
        <v/>
      </c>
      <c r="C96" s="55" t="str">
        <f t="shared" ca="1" si="31"/>
        <v xml:space="preserve"> </v>
      </c>
      <c r="D96" s="58" t="str">
        <f t="shared" si="25"/>
        <v/>
      </c>
      <c r="E96" s="56" t="str">
        <f t="shared" si="19"/>
        <v/>
      </c>
      <c r="F96" s="56" t="str">
        <f>IF(AND(A95="",A97=""),"",IF(A96="",ROUND(SUM($F$25:F95),2),IF(A96=$D$8,$E$24-ROUND(SUM($F$25:F95),2),ROUND($E$24/$D$8,2))))</f>
        <v/>
      </c>
      <c r="G96" s="56" t="str">
        <f>IF(A95=$D$8,ROUND(SUM($G$25:G95),2),IF(A96&gt;$D$8,"",IF(T96&lt;&gt;T95,ROUND(SUM(V96*$D$9*E95/T96,W96*$D$9*E95/T95),2),ROUND(E95*$D$9*D96/T95,2))))</f>
        <v/>
      </c>
      <c r="H96" s="56" t="str">
        <f>IF(A95=$D$8,SUM($H$25:H95),IF(A95&gt;$D$8,"",F96+G96))</f>
        <v/>
      </c>
      <c r="I96" s="56" t="str">
        <f t="shared" si="21"/>
        <v/>
      </c>
      <c r="J96" s="56" t="str">
        <f t="shared" si="29"/>
        <v/>
      </c>
      <c r="K96" s="56"/>
      <c r="L96" s="56" t="str">
        <f t="shared" si="23"/>
        <v/>
      </c>
      <c r="M96" s="56" t="str">
        <f t="shared" si="36"/>
        <v/>
      </c>
      <c r="N96" s="56" t="str">
        <f t="shared" si="37"/>
        <v/>
      </c>
      <c r="O96" s="56"/>
      <c r="P96" s="59" t="str">
        <f>IF(A95=$D$8,XIRR(H$24:H95,C$24:C95),"")</f>
        <v/>
      </c>
      <c r="Q96" s="56" t="str">
        <f t="shared" si="35"/>
        <v/>
      </c>
      <c r="R96" s="56">
        <f t="shared" si="32"/>
        <v>0</v>
      </c>
      <c r="S96" s="21" t="e">
        <f t="shared" ca="1" si="33"/>
        <v>#VALUE!</v>
      </c>
      <c r="T96" s="21" t="e">
        <f t="shared" ca="1" si="34"/>
        <v>#VALUE!</v>
      </c>
      <c r="U96" s="21" t="e">
        <f t="shared" ca="1" si="26"/>
        <v>#VALUE!</v>
      </c>
      <c r="V96" s="60" t="e">
        <f t="shared" ca="1" si="27"/>
        <v>#VALUE!</v>
      </c>
      <c r="W96" s="61" t="e">
        <f t="shared" ca="1" si="28"/>
        <v>#VALUE!</v>
      </c>
    </row>
    <row r="97" spans="1:27" x14ac:dyDescent="0.25">
      <c r="A97" s="58" t="str">
        <f t="shared" si="30"/>
        <v/>
      </c>
      <c r="B97" s="55" t="str">
        <f t="shared" si="20"/>
        <v/>
      </c>
      <c r="C97" s="55" t="str">
        <f t="shared" ca="1" si="31"/>
        <v xml:space="preserve"> </v>
      </c>
      <c r="D97" s="58" t="str">
        <f t="shared" si="25"/>
        <v/>
      </c>
      <c r="E97" s="56" t="str">
        <f t="shared" si="19"/>
        <v/>
      </c>
      <c r="F97" s="56" t="str">
        <f>IF(AND(A96="",A98=""),"",IF(A97="",ROUND(SUM($F$25:F96),2),IF(A97=$D$8,$E$24-ROUND(SUM($F$25:F96),2),ROUND($E$24/$D$8,2))))</f>
        <v/>
      </c>
      <c r="G97" s="56" t="str">
        <f>IF(A96=$D$8,ROUND(SUM($G$25:G96),2),IF(A97&gt;$D$8,"",IF(T97&lt;&gt;T96,ROUND(SUM(V97*$D$9*E96/T97,W97*$D$9*E96/T96),2),ROUND(E96*$D$9*D97/T96,2))))</f>
        <v/>
      </c>
      <c r="H97" s="56" t="str">
        <f>IF(A96=$D$8,SUM($H$25:H96),IF(A96&gt;$D$8,"",F97+G97))</f>
        <v/>
      </c>
      <c r="I97" s="56" t="str">
        <f t="shared" si="21"/>
        <v/>
      </c>
      <c r="J97" s="56" t="str">
        <f>IF($D$8&gt;A96,$N$9,IF($D$8=A96,SUM($J$24:J96)," "))</f>
        <v xml:space="preserve"> </v>
      </c>
      <c r="K97" s="56" t="str">
        <f>IF($D$8&gt;72,($O$8+$N$10*E96),IF($A$96=$D$8,$K$37+$K$24+$K$49+$K$61+$K$73+$K$85,""))</f>
        <v/>
      </c>
      <c r="L97" s="56" t="str">
        <f t="shared" si="23"/>
        <v/>
      </c>
      <c r="M97" s="56" t="str">
        <f t="shared" si="36"/>
        <v/>
      </c>
      <c r="N97" s="56" t="str">
        <f t="shared" si="37"/>
        <v/>
      </c>
      <c r="O97" s="56"/>
      <c r="P97" s="59" t="str">
        <f>IF(A96=$D$8,XIRR(H$24:H96,C$24:C96),"")</f>
        <v/>
      </c>
      <c r="Q97" s="56" t="str">
        <f t="shared" si="35"/>
        <v/>
      </c>
      <c r="R97" s="56">
        <f t="shared" si="32"/>
        <v>0</v>
      </c>
      <c r="S97" s="21" t="e">
        <f t="shared" ca="1" si="33"/>
        <v>#VALUE!</v>
      </c>
      <c r="T97" s="21" t="e">
        <f t="shared" ca="1" si="34"/>
        <v>#VALUE!</v>
      </c>
      <c r="U97" s="21" t="e">
        <f t="shared" ca="1" si="26"/>
        <v>#VALUE!</v>
      </c>
      <c r="V97" s="60" t="e">
        <f t="shared" ca="1" si="27"/>
        <v>#VALUE!</v>
      </c>
      <c r="W97" s="61" t="e">
        <f t="shared" ca="1" si="28"/>
        <v>#VALUE!</v>
      </c>
    </row>
    <row r="98" spans="1:27" x14ac:dyDescent="0.25">
      <c r="A98" s="58" t="str">
        <f t="shared" si="30"/>
        <v/>
      </c>
      <c r="B98" s="55" t="str">
        <f t="shared" si="20"/>
        <v/>
      </c>
      <c r="C98" s="55" t="str">
        <f t="shared" ca="1" si="31"/>
        <v xml:space="preserve"> </v>
      </c>
      <c r="D98" s="58" t="str">
        <f t="shared" si="25"/>
        <v/>
      </c>
      <c r="E98" s="56" t="str">
        <f t="shared" si="19"/>
        <v/>
      </c>
      <c r="F98" s="56" t="str">
        <f>IF(AND(A97="",A99=""),"",IF(A98="",ROUND(SUM($F$25:F97),2),IF(A98=$D$8,$E$24-ROUND(SUM($F$25:F97),2),ROUND($E$24/$D$8,2))))</f>
        <v/>
      </c>
      <c r="G98" s="56" t="str">
        <f>IF(A97=$D$8,ROUND(SUM($G$25:G97),2),IF(A98&gt;$D$8,"",IF(T98&lt;&gt;T97,ROUND(SUM(V98*$D$9*E97/T98,W98*$D$9*E97/T97),2),ROUND(E97*$D$9*D98/T97,2))))</f>
        <v/>
      </c>
      <c r="H98" s="56" t="str">
        <f>IF(A97=$D$8,SUM($H$25:H97),IF(A97&gt;$D$8,"",F98+G98))</f>
        <v/>
      </c>
      <c r="I98" s="56" t="str">
        <f t="shared" si="21"/>
        <v/>
      </c>
      <c r="J98" s="56" t="str">
        <f t="shared" ref="J98:J108" si="38">IF(A97=$D$8,$J$24,"")</f>
        <v/>
      </c>
      <c r="K98" s="56"/>
      <c r="L98" s="56" t="str">
        <f t="shared" si="23"/>
        <v/>
      </c>
      <c r="M98" s="56" t="str">
        <f t="shared" si="36"/>
        <v/>
      </c>
      <c r="N98" s="56" t="str">
        <f t="shared" si="37"/>
        <v/>
      </c>
      <c r="O98" s="56"/>
      <c r="P98" s="59" t="str">
        <f>IF(A97=$D$8,XIRR(H$24:H97,C$24:C97),"")</f>
        <v/>
      </c>
      <c r="Q98" s="56" t="str">
        <f t="shared" si="35"/>
        <v/>
      </c>
      <c r="R98" s="56">
        <f t="shared" si="32"/>
        <v>0</v>
      </c>
      <c r="S98" s="21" t="e">
        <f t="shared" ca="1" si="33"/>
        <v>#VALUE!</v>
      </c>
      <c r="T98" s="21" t="e">
        <f t="shared" ca="1" si="34"/>
        <v>#VALUE!</v>
      </c>
      <c r="U98" s="21" t="e">
        <f t="shared" ca="1" si="26"/>
        <v>#VALUE!</v>
      </c>
      <c r="V98" s="60" t="e">
        <f t="shared" ca="1" si="27"/>
        <v>#VALUE!</v>
      </c>
      <c r="W98" s="61" t="e">
        <f t="shared" ca="1" si="28"/>
        <v>#VALUE!</v>
      </c>
    </row>
    <row r="99" spans="1:27" x14ac:dyDescent="0.25">
      <c r="A99" s="58" t="str">
        <f t="shared" si="30"/>
        <v/>
      </c>
      <c r="B99" s="55" t="str">
        <f t="shared" si="20"/>
        <v/>
      </c>
      <c r="C99" s="55" t="str">
        <f t="shared" ca="1" si="31"/>
        <v xml:space="preserve"> </v>
      </c>
      <c r="D99" s="58" t="str">
        <f t="shared" si="25"/>
        <v/>
      </c>
      <c r="E99" s="56" t="str">
        <f t="shared" si="19"/>
        <v/>
      </c>
      <c r="F99" s="56" t="str">
        <f>IF(AND(A98="",A100=""),"",IF(A99="",ROUND(SUM($F$25:F98),2),IF(A99=$D$8,$E$24-ROUND(SUM($F$25:F98),2),ROUND($E$24/$D$8,2))))</f>
        <v/>
      </c>
      <c r="G99" s="56" t="str">
        <f>IF(A98=$D$8,ROUND(SUM($G$25:G98),2),IF(A99&gt;$D$8,"",IF(T99&lt;&gt;T98,ROUND(SUM(V99*$D$9*E98/T99,W99*$D$9*E98/T98),2),ROUND(E98*$D$9*D99/T98,2))))</f>
        <v/>
      </c>
      <c r="H99" s="56" t="str">
        <f>IF(A98=$D$8,SUM($H$25:H98),IF(A98&gt;$D$8,"",F99+G99))</f>
        <v/>
      </c>
      <c r="I99" s="56" t="str">
        <f t="shared" si="21"/>
        <v/>
      </c>
      <c r="J99" s="56" t="str">
        <f t="shared" si="38"/>
        <v/>
      </c>
      <c r="K99" s="56"/>
      <c r="L99" s="56" t="str">
        <f t="shared" si="23"/>
        <v/>
      </c>
      <c r="M99" s="56" t="str">
        <f t="shared" si="36"/>
        <v/>
      </c>
      <c r="N99" s="56" t="str">
        <f t="shared" si="37"/>
        <v/>
      </c>
      <c r="O99" s="56"/>
      <c r="P99" s="59" t="str">
        <f>IF(A98=$D$8,XIRR(H$24:H98,C$24:C98),"")</f>
        <v/>
      </c>
      <c r="Q99" s="56" t="str">
        <f t="shared" si="35"/>
        <v/>
      </c>
      <c r="R99" s="56">
        <f t="shared" si="32"/>
        <v>0</v>
      </c>
      <c r="S99" s="21" t="e">
        <f t="shared" ca="1" si="33"/>
        <v>#VALUE!</v>
      </c>
      <c r="T99" s="21" t="e">
        <f t="shared" ca="1" si="34"/>
        <v>#VALUE!</v>
      </c>
      <c r="U99" s="21" t="e">
        <f t="shared" ca="1" si="26"/>
        <v>#VALUE!</v>
      </c>
      <c r="V99" s="60" t="e">
        <f t="shared" ca="1" si="27"/>
        <v>#VALUE!</v>
      </c>
      <c r="W99" s="61" t="e">
        <f t="shared" ca="1" si="28"/>
        <v>#VALUE!</v>
      </c>
    </row>
    <row r="100" spans="1:27" x14ac:dyDescent="0.25">
      <c r="A100" s="58" t="str">
        <f t="shared" si="30"/>
        <v/>
      </c>
      <c r="B100" s="55" t="str">
        <f t="shared" si="20"/>
        <v/>
      </c>
      <c r="C100" s="55" t="str">
        <f t="shared" ca="1" si="31"/>
        <v xml:space="preserve"> </v>
      </c>
      <c r="D100" s="58" t="str">
        <f t="shared" si="25"/>
        <v/>
      </c>
      <c r="E100" s="56" t="str">
        <f t="shared" si="19"/>
        <v/>
      </c>
      <c r="F100" s="56" t="str">
        <f>IF(AND(A99="",A101=""),"",IF(A100="",ROUND(SUM($F$25:F99),2),IF(A100=$D$8,$E$24-ROUND(SUM($F$25:F99),2),ROUND($E$24/$D$8,2))))</f>
        <v/>
      </c>
      <c r="G100" s="56" t="str">
        <f>IF(A99=$D$8,ROUND(SUM($G$25:G99),2),IF(A100&gt;$D$8,"",IF(T100&lt;&gt;T99,ROUND(SUM(V100*$D$9*E99/T100,W100*$D$9*E99/T99),2),ROUND(E99*$D$9*D100/T99,2))))</f>
        <v/>
      </c>
      <c r="H100" s="56" t="str">
        <f>IF(A99=$D$8,SUM($H$25:H99),IF(A99&gt;$D$8,"",F100+G100))</f>
        <v/>
      </c>
      <c r="I100" s="56" t="str">
        <f t="shared" si="21"/>
        <v/>
      </c>
      <c r="J100" s="56" t="str">
        <f t="shared" si="38"/>
        <v/>
      </c>
      <c r="K100" s="56"/>
      <c r="L100" s="56" t="str">
        <f t="shared" si="23"/>
        <v/>
      </c>
      <c r="M100" s="56" t="str">
        <f t="shared" si="36"/>
        <v/>
      </c>
      <c r="N100" s="56" t="str">
        <f t="shared" si="37"/>
        <v/>
      </c>
      <c r="O100" s="56"/>
      <c r="P100" s="59" t="str">
        <f>IF(A99=$D$8,XIRR(H$24:H99,C$24:C99),"")</f>
        <v/>
      </c>
      <c r="Q100" s="56" t="str">
        <f t="shared" si="35"/>
        <v/>
      </c>
      <c r="R100" s="56">
        <f t="shared" si="32"/>
        <v>0</v>
      </c>
      <c r="S100" s="21" t="e">
        <f t="shared" ca="1" si="33"/>
        <v>#VALUE!</v>
      </c>
      <c r="T100" s="21" t="e">
        <f t="shared" ca="1" si="34"/>
        <v>#VALUE!</v>
      </c>
      <c r="U100" s="21" t="e">
        <f t="shared" ca="1" si="26"/>
        <v>#VALUE!</v>
      </c>
      <c r="V100" s="60" t="e">
        <f t="shared" ca="1" si="27"/>
        <v>#VALUE!</v>
      </c>
      <c r="W100" s="61" t="e">
        <f t="shared" ca="1" si="28"/>
        <v>#VALUE!</v>
      </c>
    </row>
    <row r="101" spans="1:27" x14ac:dyDescent="0.25">
      <c r="A101" s="58" t="str">
        <f t="shared" si="30"/>
        <v/>
      </c>
      <c r="B101" s="55" t="str">
        <f t="shared" si="20"/>
        <v/>
      </c>
      <c r="C101" s="55" t="str">
        <f t="shared" ca="1" si="31"/>
        <v xml:space="preserve"> </v>
      </c>
      <c r="D101" s="58" t="str">
        <f t="shared" ref="D101:D164" si="39">IF(A101&gt;$D$8,"",C101-C100)</f>
        <v/>
      </c>
      <c r="E101" s="56" t="str">
        <f t="shared" ref="E101:E164" si="40">IF(A101&gt;$D$8,"",E100-F101)</f>
        <v/>
      </c>
      <c r="F101" s="56" t="str">
        <f>IF(AND(A100="",A102=""),"",IF(A101="",ROUND(SUM($F$25:F100),2),IF(A101=$D$8,$E$24-ROUND(SUM($F$25:F100),2),ROUND($E$24/$D$8,2))))</f>
        <v/>
      </c>
      <c r="G101" s="56" t="str">
        <f>IF(A100=$D$8,ROUND(SUM($G$25:G100),2),IF(A101&gt;$D$8,"",IF(T101&lt;&gt;T100,ROUND(SUM(V101*$D$9*E100/T101,W101*$D$9*E100/T100),2),ROUND(E100*$D$9*D101/T100,2))))</f>
        <v/>
      </c>
      <c r="H101" s="56" t="str">
        <f>IF(A100=$D$8,SUM($H$25:H100),IF(A100&gt;$D$8,"",F101+G101))</f>
        <v/>
      </c>
      <c r="I101" s="56" t="str">
        <f t="shared" si="21"/>
        <v/>
      </c>
      <c r="J101" s="56" t="str">
        <f t="shared" si="38"/>
        <v/>
      </c>
      <c r="K101" s="56"/>
      <c r="L101" s="56" t="str">
        <f t="shared" si="23"/>
        <v/>
      </c>
      <c r="M101" s="56" t="str">
        <f t="shared" si="36"/>
        <v/>
      </c>
      <c r="N101" s="56" t="str">
        <f t="shared" si="37"/>
        <v/>
      </c>
      <c r="O101" s="56"/>
      <c r="P101" s="59" t="str">
        <f>IF(A100=$D$8,XIRR(H$24:H100,C$24:C100),"")</f>
        <v/>
      </c>
      <c r="Q101" s="56" t="str">
        <f t="shared" si="35"/>
        <v/>
      </c>
      <c r="R101" s="56">
        <f t="shared" si="32"/>
        <v>0</v>
      </c>
      <c r="S101" s="21" t="e">
        <f t="shared" ca="1" si="33"/>
        <v>#VALUE!</v>
      </c>
      <c r="T101" s="21" t="e">
        <f t="shared" ca="1" si="34"/>
        <v>#VALUE!</v>
      </c>
      <c r="U101" s="21" t="e">
        <f t="shared" ca="1" si="26"/>
        <v>#VALUE!</v>
      </c>
      <c r="V101" s="60" t="e">
        <f t="shared" ca="1" si="27"/>
        <v>#VALUE!</v>
      </c>
      <c r="W101" s="61" t="e">
        <f t="shared" ca="1" si="28"/>
        <v>#VALUE!</v>
      </c>
    </row>
    <row r="102" spans="1:27" x14ac:dyDescent="0.25">
      <c r="A102" s="58" t="str">
        <f t="shared" si="30"/>
        <v/>
      </c>
      <c r="B102" s="55" t="str">
        <f t="shared" ref="B102:B165" si="41">IF(A102="","",EDATE($B$24,A102))</f>
        <v/>
      </c>
      <c r="C102" s="55" t="str">
        <f t="shared" ca="1" si="31"/>
        <v xml:space="preserve"> </v>
      </c>
      <c r="D102" s="58" t="str">
        <f t="shared" si="39"/>
        <v/>
      </c>
      <c r="E102" s="56" t="str">
        <f t="shared" si="40"/>
        <v/>
      </c>
      <c r="F102" s="56" t="str">
        <f>IF(AND(A101="",A103=""),"",IF(A102="",ROUND(SUM($F$25:F101),2),IF(A102=$D$8,$E$24-ROUND(SUM($F$25:F101),2),ROUND($E$24/$D$8,2))))</f>
        <v/>
      </c>
      <c r="G102" s="56" t="str">
        <f>IF(A101=$D$8,ROUND(SUM($G$25:G101),2),IF(A102&gt;$D$8,"",IF(T102&lt;&gt;T101,ROUND(SUM(V102*$D$9*E101/T102,W102*$D$9*E101/T101),2),ROUND(E101*$D$9*D102/T101,2))))</f>
        <v/>
      </c>
      <c r="H102" s="56" t="str">
        <f>IF(A101=$D$8,SUM($H$25:H101),IF(A101&gt;$D$8,"",F102+G102))</f>
        <v/>
      </c>
      <c r="I102" s="56" t="str">
        <f t="shared" ref="I102:I165" si="42">IF(A101=$D$8,$I$24,"")</f>
        <v/>
      </c>
      <c r="J102" s="56" t="str">
        <f t="shared" si="38"/>
        <v/>
      </c>
      <c r="K102" s="56"/>
      <c r="L102" s="56" t="str">
        <f t="shared" ref="L102:L165" si="43">IF(A101=$D$8,$L$24,"")</f>
        <v/>
      </c>
      <c r="M102" s="56" t="str">
        <f t="shared" si="36"/>
        <v/>
      </c>
      <c r="N102" s="56" t="str">
        <f t="shared" si="37"/>
        <v/>
      </c>
      <c r="O102" s="56"/>
      <c r="P102" s="59" t="str">
        <f>IF(A101=$D$8,XIRR(H$24:H101,C$24:C101),"")</f>
        <v/>
      </c>
      <c r="Q102" s="56" t="str">
        <f t="shared" si="35"/>
        <v/>
      </c>
      <c r="R102" s="56">
        <f t="shared" si="32"/>
        <v>0</v>
      </c>
      <c r="S102" s="21" t="e">
        <f t="shared" ca="1" si="33"/>
        <v>#VALUE!</v>
      </c>
      <c r="T102" s="21" t="e">
        <f t="shared" ca="1" si="34"/>
        <v>#VALUE!</v>
      </c>
      <c r="U102" s="21" t="e">
        <f t="shared" ca="1" si="26"/>
        <v>#VALUE!</v>
      </c>
      <c r="V102" s="60" t="e">
        <f t="shared" ca="1" si="27"/>
        <v>#VALUE!</v>
      </c>
      <c r="W102" s="61" t="e">
        <f t="shared" ca="1" si="28"/>
        <v>#VALUE!</v>
      </c>
    </row>
    <row r="103" spans="1:27" x14ac:dyDescent="0.25">
      <c r="A103" s="58" t="str">
        <f t="shared" si="30"/>
        <v/>
      </c>
      <c r="B103" s="55" t="str">
        <f t="shared" si="41"/>
        <v/>
      </c>
      <c r="C103" s="55" t="str">
        <f t="shared" ca="1" si="31"/>
        <v xml:space="preserve"> </v>
      </c>
      <c r="D103" s="58" t="str">
        <f t="shared" si="39"/>
        <v/>
      </c>
      <c r="E103" s="56" t="str">
        <f t="shared" si="40"/>
        <v/>
      </c>
      <c r="F103" s="56" t="str">
        <f>IF(AND(A102="",A104=""),"",IF(A103="",ROUND(SUM($F$25:F102),2),IF(A103=$D$8,$E$24-ROUND(SUM($F$25:F102),2),ROUND($E$24/$D$8,2))))</f>
        <v/>
      </c>
      <c r="G103" s="56" t="str">
        <f>IF(A102=$D$8,ROUND(SUM($G$25:G102),2),IF(A103&gt;$D$8,"",IF(T103&lt;&gt;T102,ROUND(SUM(V103*$D$9*E102/T103,W103*$D$9*E102/T102),2),ROUND(E102*$D$9*D103/T102,2))))</f>
        <v/>
      </c>
      <c r="H103" s="56" t="str">
        <f>IF(A102=$D$8,SUM($H$25:H102),IF(A102&gt;$D$8,"",F103+G103))</f>
        <v/>
      </c>
      <c r="I103" s="56" t="str">
        <f t="shared" si="42"/>
        <v/>
      </c>
      <c r="J103" s="56" t="str">
        <f t="shared" si="38"/>
        <v/>
      </c>
      <c r="K103" s="56"/>
      <c r="L103" s="56" t="str">
        <f t="shared" si="43"/>
        <v/>
      </c>
      <c r="M103" s="56" t="str">
        <f t="shared" si="36"/>
        <v/>
      </c>
      <c r="N103" s="56" t="str">
        <f t="shared" si="37"/>
        <v/>
      </c>
      <c r="O103" s="56"/>
      <c r="P103" s="59" t="str">
        <f>IF(A102=$D$8,XIRR(H$24:H102,C$24:C102),"")</f>
        <v/>
      </c>
      <c r="Q103" s="56" t="str">
        <f t="shared" si="35"/>
        <v/>
      </c>
      <c r="R103" s="56">
        <f t="shared" si="32"/>
        <v>0</v>
      </c>
      <c r="S103" s="21" t="e">
        <f t="shared" ca="1" si="33"/>
        <v>#VALUE!</v>
      </c>
      <c r="T103" s="21" t="e">
        <f t="shared" ca="1" si="34"/>
        <v>#VALUE!</v>
      </c>
      <c r="U103" s="21" t="e">
        <f t="shared" ca="1" si="26"/>
        <v>#VALUE!</v>
      </c>
      <c r="V103" s="60" t="e">
        <f t="shared" ca="1" si="27"/>
        <v>#VALUE!</v>
      </c>
      <c r="W103" s="61" t="e">
        <f t="shared" ca="1" si="28"/>
        <v>#VALUE!</v>
      </c>
    </row>
    <row r="104" spans="1:27" x14ac:dyDescent="0.25">
      <c r="A104" s="58" t="str">
        <f t="shared" si="30"/>
        <v/>
      </c>
      <c r="B104" s="55" t="str">
        <f t="shared" si="41"/>
        <v/>
      </c>
      <c r="C104" s="55" t="str">
        <f t="shared" ca="1" si="31"/>
        <v xml:space="preserve"> </v>
      </c>
      <c r="D104" s="58" t="str">
        <f t="shared" si="39"/>
        <v/>
      </c>
      <c r="E104" s="56" t="str">
        <f t="shared" si="40"/>
        <v/>
      </c>
      <c r="F104" s="56" t="str">
        <f>IF(AND(A103="",A105=""),"",IF(A104="",ROUND(SUM($F$25:F103),2),IF(A104=$D$8,$E$24-ROUND(SUM($F$25:F103),2),ROUND($E$24/$D$8,2))))</f>
        <v/>
      </c>
      <c r="G104" s="56" t="str">
        <f>IF(A103=$D$8,ROUND(SUM($G$25:G103),2),IF(A104&gt;$D$8,"",IF(T104&lt;&gt;T103,ROUND(SUM(V104*$D$9*E103/T104,W104*$D$9*E103/T103),2),ROUND(E103*$D$9*D104/T103,2))))</f>
        <v/>
      </c>
      <c r="H104" s="56" t="str">
        <f>IF(A103=$D$8,SUM($H$25:H103),IF(A103&gt;$D$8,"",F104+G104))</f>
        <v/>
      </c>
      <c r="I104" s="56" t="str">
        <f t="shared" si="42"/>
        <v/>
      </c>
      <c r="J104" s="56" t="str">
        <f t="shared" si="38"/>
        <v/>
      </c>
      <c r="K104" s="56"/>
      <c r="L104" s="56" t="str">
        <f t="shared" si="43"/>
        <v/>
      </c>
      <c r="M104" s="56" t="str">
        <f t="shared" si="36"/>
        <v/>
      </c>
      <c r="N104" s="56" t="str">
        <f t="shared" si="37"/>
        <v/>
      </c>
      <c r="O104" s="56"/>
      <c r="P104" s="59" t="str">
        <f>IF(A103=$D$8,XIRR(H$24:H103,C$24:C103),"")</f>
        <v/>
      </c>
      <c r="Q104" s="56" t="str">
        <f t="shared" si="35"/>
        <v/>
      </c>
      <c r="R104" s="56">
        <f t="shared" si="32"/>
        <v>0</v>
      </c>
      <c r="S104" s="21" t="e">
        <f t="shared" ca="1" si="33"/>
        <v>#VALUE!</v>
      </c>
      <c r="T104" s="21" t="e">
        <f t="shared" ca="1" si="34"/>
        <v>#VALUE!</v>
      </c>
      <c r="U104" s="21" t="e">
        <f t="shared" ca="1" si="26"/>
        <v>#VALUE!</v>
      </c>
      <c r="V104" s="60" t="e">
        <f t="shared" ca="1" si="27"/>
        <v>#VALUE!</v>
      </c>
      <c r="W104" s="61" t="e">
        <f t="shared" ca="1" si="28"/>
        <v>#VALUE!</v>
      </c>
    </row>
    <row r="105" spans="1:27" x14ac:dyDescent="0.25">
      <c r="A105" s="58" t="str">
        <f t="shared" si="30"/>
        <v/>
      </c>
      <c r="B105" s="55" t="str">
        <f t="shared" si="41"/>
        <v/>
      </c>
      <c r="C105" s="55" t="str">
        <f t="shared" ca="1" si="31"/>
        <v xml:space="preserve"> </v>
      </c>
      <c r="D105" s="58" t="str">
        <f t="shared" si="39"/>
        <v/>
      </c>
      <c r="E105" s="56" t="str">
        <f t="shared" si="40"/>
        <v/>
      </c>
      <c r="F105" s="56" t="str">
        <f>IF(AND(A104="",A106=""),"",IF(A105="",ROUND(SUM($F$25:F104),2),IF(A105=$D$8,$E$24-ROUND(SUM($F$25:F104),2),ROUND($E$24/$D$8,2))))</f>
        <v/>
      </c>
      <c r="G105" s="56" t="str">
        <f>IF(A104=$D$8,ROUND(SUM($G$25:G104),2),IF(A105&gt;$D$8,"",IF(T105&lt;&gt;T104,ROUND(SUM(V105*$D$9*E104/T105,W105*$D$9*E104/T104),2),ROUND(E104*$D$9*D105/T104,2))))</f>
        <v/>
      </c>
      <c r="H105" s="56" t="str">
        <f>IF(A104=$D$8,SUM($H$25:H104),IF(A104&gt;$D$8,"",F105+G105))</f>
        <v/>
      </c>
      <c r="I105" s="56" t="str">
        <f t="shared" si="42"/>
        <v/>
      </c>
      <c r="J105" s="56" t="str">
        <f t="shared" si="38"/>
        <v/>
      </c>
      <c r="K105" s="56"/>
      <c r="L105" s="56" t="str">
        <f t="shared" si="43"/>
        <v/>
      </c>
      <c r="M105" s="56" t="str">
        <f t="shared" si="36"/>
        <v/>
      </c>
      <c r="N105" s="56" t="str">
        <f t="shared" si="37"/>
        <v/>
      </c>
      <c r="O105" s="56"/>
      <c r="P105" s="59" t="str">
        <f>IF(A104=$D$8,XIRR(H$24:H104,C$24:C104),"")</f>
        <v/>
      </c>
      <c r="Q105" s="56" t="str">
        <f t="shared" si="35"/>
        <v/>
      </c>
      <c r="R105" s="56">
        <f t="shared" si="32"/>
        <v>0</v>
      </c>
      <c r="S105" s="21" t="e">
        <f t="shared" ca="1" si="33"/>
        <v>#VALUE!</v>
      </c>
      <c r="T105" s="21" t="e">
        <f t="shared" ca="1" si="34"/>
        <v>#VALUE!</v>
      </c>
      <c r="U105" s="21" t="e">
        <f t="shared" ca="1" si="26"/>
        <v>#VALUE!</v>
      </c>
      <c r="V105" s="60" t="e">
        <f t="shared" ca="1" si="27"/>
        <v>#VALUE!</v>
      </c>
      <c r="W105" s="61" t="e">
        <f t="shared" ca="1" si="28"/>
        <v>#VALUE!</v>
      </c>
    </row>
    <row r="106" spans="1:27" x14ac:dyDescent="0.25">
      <c r="A106" s="58" t="str">
        <f t="shared" si="30"/>
        <v/>
      </c>
      <c r="B106" s="55" t="str">
        <f t="shared" si="41"/>
        <v/>
      </c>
      <c r="C106" s="55" t="str">
        <f t="shared" ca="1" si="31"/>
        <v xml:space="preserve"> </v>
      </c>
      <c r="D106" s="58" t="str">
        <f t="shared" si="39"/>
        <v/>
      </c>
      <c r="E106" s="56" t="str">
        <f t="shared" si="40"/>
        <v/>
      </c>
      <c r="F106" s="56" t="str">
        <f>IF(AND(A105="",A107=""),"",IF(A106="",ROUND(SUM($F$25:F105),2),IF(A106=$D$8,$E$24-ROUND(SUM($F$25:F105),2),ROUND($E$24/$D$8,2))))</f>
        <v/>
      </c>
      <c r="G106" s="56" t="str">
        <f>IF(A105=$D$8,ROUND(SUM($G$25:G105),2),IF(A106&gt;$D$8,"",IF(T106&lt;&gt;T105,ROUND(SUM(V106*$D$9*E105/T106,W106*$D$9*E105/T105),2),ROUND(E105*$D$9*D106/T105,2))))</f>
        <v/>
      </c>
      <c r="H106" s="56" t="str">
        <f>IF(A105=$D$8,SUM($H$25:H105),IF(A105&gt;$D$8,"",F106+G106))</f>
        <v/>
      </c>
      <c r="I106" s="56" t="str">
        <f t="shared" si="42"/>
        <v/>
      </c>
      <c r="J106" s="56" t="str">
        <f t="shared" si="38"/>
        <v/>
      </c>
      <c r="K106" s="56"/>
      <c r="L106" s="56" t="str">
        <f t="shared" si="43"/>
        <v/>
      </c>
      <c r="M106" s="56" t="str">
        <f t="shared" si="36"/>
        <v/>
      </c>
      <c r="N106" s="56" t="str">
        <f t="shared" si="37"/>
        <v/>
      </c>
      <c r="O106" s="56"/>
      <c r="P106" s="59" t="str">
        <f>IF(A105=$D$8,XIRR(H$24:H105,C$24:C105),"")</f>
        <v/>
      </c>
      <c r="Q106" s="56" t="str">
        <f t="shared" si="35"/>
        <v/>
      </c>
      <c r="R106" s="56">
        <f t="shared" si="32"/>
        <v>0</v>
      </c>
      <c r="S106" s="21" t="e">
        <f t="shared" ca="1" si="33"/>
        <v>#VALUE!</v>
      </c>
      <c r="T106" s="21" t="e">
        <f t="shared" ca="1" si="34"/>
        <v>#VALUE!</v>
      </c>
      <c r="U106" s="21" t="e">
        <f t="shared" ca="1" si="26"/>
        <v>#VALUE!</v>
      </c>
      <c r="V106" s="60" t="e">
        <f t="shared" ca="1" si="27"/>
        <v>#VALUE!</v>
      </c>
      <c r="W106" s="61" t="e">
        <f t="shared" ca="1" si="28"/>
        <v>#VALUE!</v>
      </c>
    </row>
    <row r="107" spans="1:27" x14ac:dyDescent="0.25">
      <c r="A107" s="58" t="str">
        <f t="shared" si="30"/>
        <v/>
      </c>
      <c r="B107" s="55" t="str">
        <f t="shared" si="41"/>
        <v/>
      </c>
      <c r="C107" s="55" t="str">
        <f t="shared" ca="1" si="31"/>
        <v xml:space="preserve"> </v>
      </c>
      <c r="D107" s="58" t="str">
        <f t="shared" si="39"/>
        <v/>
      </c>
      <c r="E107" s="56" t="str">
        <f t="shared" si="40"/>
        <v/>
      </c>
      <c r="F107" s="56" t="str">
        <f>IF(AND(A106="",A108=""),"",IF(A107="",ROUND(SUM($F$25:F106),2),IF(A107=$D$8,$E$24-ROUND(SUM($F$25:F106),2),ROUND($E$24/$D$8,2))))</f>
        <v/>
      </c>
      <c r="G107" s="56" t="str">
        <f>IF(A106=$D$8,ROUND(SUM($G$25:G106),2),IF(A107&gt;$D$8,"",IF(T107&lt;&gt;T106,ROUND(SUM(V107*$D$9*E106/T107,W107*$D$9*E106/T106),2),ROUND(E106*$D$9*D107/T106,2))))</f>
        <v/>
      </c>
      <c r="H107" s="56" t="str">
        <f>IF(A106=$D$8,SUM($H$25:H106),IF(A106&gt;$D$8,"",F107+G107))</f>
        <v/>
      </c>
      <c r="I107" s="56" t="str">
        <f t="shared" si="42"/>
        <v/>
      </c>
      <c r="J107" s="56" t="str">
        <f t="shared" si="38"/>
        <v/>
      </c>
      <c r="K107" s="56"/>
      <c r="L107" s="56" t="str">
        <f t="shared" si="43"/>
        <v/>
      </c>
      <c r="M107" s="56" t="str">
        <f t="shared" si="36"/>
        <v/>
      </c>
      <c r="N107" s="56" t="str">
        <f t="shared" si="37"/>
        <v/>
      </c>
      <c r="O107" s="56"/>
      <c r="P107" s="59" t="str">
        <f>IF(A106=$D$8,XIRR(H$24:H106,C$24:C106),"")</f>
        <v/>
      </c>
      <c r="Q107" s="56" t="str">
        <f t="shared" si="35"/>
        <v/>
      </c>
      <c r="R107" s="56">
        <f t="shared" si="32"/>
        <v>0</v>
      </c>
      <c r="S107" s="21" t="e">
        <f t="shared" ca="1" si="33"/>
        <v>#VALUE!</v>
      </c>
      <c r="T107" s="21" t="e">
        <f t="shared" ca="1" si="34"/>
        <v>#VALUE!</v>
      </c>
      <c r="U107" s="21" t="e">
        <f t="shared" ca="1" si="26"/>
        <v>#VALUE!</v>
      </c>
      <c r="V107" s="60" t="e">
        <f t="shared" ca="1" si="27"/>
        <v>#VALUE!</v>
      </c>
      <c r="W107" s="61" t="e">
        <f t="shared" ca="1" si="28"/>
        <v>#VALUE!</v>
      </c>
      <c r="AA107" s="63"/>
    </row>
    <row r="108" spans="1:27" x14ac:dyDescent="0.25">
      <c r="A108" s="58" t="str">
        <f t="shared" si="30"/>
        <v/>
      </c>
      <c r="B108" s="55" t="str">
        <f t="shared" si="41"/>
        <v/>
      </c>
      <c r="C108" s="55" t="str">
        <f t="shared" ca="1" si="31"/>
        <v xml:space="preserve"> </v>
      </c>
      <c r="D108" s="58" t="str">
        <f t="shared" si="39"/>
        <v/>
      </c>
      <c r="E108" s="56" t="str">
        <f t="shared" si="40"/>
        <v/>
      </c>
      <c r="F108" s="56" t="str">
        <f>IF(AND(A107="",A109=""),"",IF(A108="",ROUND(SUM($F$25:F107),2),IF(A108=$D$8,$E$24-ROUND(SUM($F$25:F107),2),ROUND($E$24/$D$8,2))))</f>
        <v/>
      </c>
      <c r="G108" s="56" t="str">
        <f>IF(A107=$D$8,ROUND(SUM($G$25:G107),2),IF(A108&gt;$D$8,"",IF(T108&lt;&gt;T107,ROUND(SUM(V108*$D$9*E107/T108,W108*$D$9*E107/T107),2),ROUND(E107*$D$9*D108/T107,2))))</f>
        <v/>
      </c>
      <c r="H108" s="56" t="str">
        <f>IF(A107=$D$8,SUM($H$25:H107),IF(A107&gt;$D$8,"",F108+G108))</f>
        <v/>
      </c>
      <c r="I108" s="56" t="str">
        <f t="shared" si="42"/>
        <v/>
      </c>
      <c r="J108" s="56" t="str">
        <f t="shared" si="38"/>
        <v/>
      </c>
      <c r="K108" s="56"/>
      <c r="L108" s="56" t="str">
        <f t="shared" si="43"/>
        <v/>
      </c>
      <c r="M108" s="56" t="str">
        <f t="shared" si="36"/>
        <v/>
      </c>
      <c r="N108" s="56" t="str">
        <f t="shared" si="37"/>
        <v/>
      </c>
      <c r="O108" s="56"/>
      <c r="P108" s="59" t="str">
        <f>IF(A107=$D$8,XIRR(H$24:H107,C$24:C107),"")</f>
        <v/>
      </c>
      <c r="Q108" s="56" t="str">
        <f t="shared" si="35"/>
        <v/>
      </c>
      <c r="R108" s="56">
        <f t="shared" si="32"/>
        <v>0</v>
      </c>
      <c r="S108" s="21" t="e">
        <f t="shared" ca="1" si="33"/>
        <v>#VALUE!</v>
      </c>
      <c r="T108" s="21" t="e">
        <f t="shared" ca="1" si="34"/>
        <v>#VALUE!</v>
      </c>
      <c r="U108" s="21" t="e">
        <f t="shared" ca="1" si="26"/>
        <v>#VALUE!</v>
      </c>
      <c r="V108" s="60" t="e">
        <f t="shared" ca="1" si="27"/>
        <v>#VALUE!</v>
      </c>
      <c r="W108" s="61" t="e">
        <f t="shared" ca="1" si="28"/>
        <v>#VALUE!</v>
      </c>
    </row>
    <row r="109" spans="1:27" x14ac:dyDescent="0.25">
      <c r="A109" s="58" t="str">
        <f t="shared" si="30"/>
        <v/>
      </c>
      <c r="B109" s="55" t="str">
        <f t="shared" si="41"/>
        <v/>
      </c>
      <c r="C109" s="55" t="str">
        <f t="shared" ca="1" si="31"/>
        <v xml:space="preserve"> </v>
      </c>
      <c r="D109" s="58" t="str">
        <f t="shared" si="39"/>
        <v/>
      </c>
      <c r="E109" s="56" t="str">
        <f t="shared" si="40"/>
        <v/>
      </c>
      <c r="F109" s="56" t="str">
        <f>IF(AND(A108="",A110=""),"",IF(A109="",ROUND(SUM($F$25:F108),2),IF(A109=$D$8,$E$24-ROUND(SUM($F$25:F108),2),ROUND($E$24/$D$8,2))))</f>
        <v/>
      </c>
      <c r="G109" s="56" t="str">
        <f>IF(A108=$D$8,ROUND(SUM($G$25:G108),2),IF(A109&gt;$D$8,"",IF(T109&lt;&gt;T108,ROUND(SUM(V109*$D$9*E108/T109,W109*$D$9*E108/T108),2),ROUND(E108*$D$9*D109/T108,2))))</f>
        <v/>
      </c>
      <c r="H109" s="56" t="str">
        <f>IF(A108=$D$8,SUM($H$25:H108),IF(A108&gt;$D$8,"",F109+G109))</f>
        <v/>
      </c>
      <c r="I109" s="56" t="str">
        <f t="shared" si="42"/>
        <v/>
      </c>
      <c r="J109" s="56" t="str">
        <f>IF($D$8&gt;A108,$N$9,IF($D$8=A108,SUM($J$24:J108)," "))</f>
        <v xml:space="preserve"> </v>
      </c>
      <c r="K109" s="56" t="str">
        <f>IF($D$8&gt;84,($O$8+$N$10*E108),IF($A$108=$D$8,$K$37+$K$24+$K$49+$K$61+$K$73+$K$85+$K$97,""))</f>
        <v/>
      </c>
      <c r="L109" s="56" t="str">
        <f t="shared" si="43"/>
        <v/>
      </c>
      <c r="M109" s="56" t="str">
        <f t="shared" si="36"/>
        <v/>
      </c>
      <c r="N109" s="56" t="str">
        <f t="shared" si="37"/>
        <v/>
      </c>
      <c r="O109" s="56"/>
      <c r="P109" s="59" t="str">
        <f>IF(A108=$D$8,XIRR(H$24:H108,C$24:C108),"")</f>
        <v/>
      </c>
      <c r="Q109" s="56" t="str">
        <f t="shared" si="35"/>
        <v/>
      </c>
      <c r="R109" s="56">
        <f t="shared" si="32"/>
        <v>0</v>
      </c>
      <c r="S109" s="21" t="e">
        <f t="shared" ca="1" si="33"/>
        <v>#VALUE!</v>
      </c>
      <c r="T109" s="21" t="e">
        <f t="shared" ca="1" si="34"/>
        <v>#VALUE!</v>
      </c>
      <c r="U109" s="21" t="e">
        <f t="shared" ref="U109:U172" ca="1" si="44">IF(C109="","",DAY(C109))</f>
        <v>#VALUE!</v>
      </c>
      <c r="V109" s="60" t="e">
        <f t="shared" ref="V109:V172" ca="1" si="45">U109-1</f>
        <v>#VALUE!</v>
      </c>
      <c r="W109" s="61" t="e">
        <f t="shared" ca="1" si="28"/>
        <v>#VALUE!</v>
      </c>
    </row>
    <row r="110" spans="1:27" x14ac:dyDescent="0.25">
      <c r="A110" s="58" t="str">
        <f t="shared" si="30"/>
        <v/>
      </c>
      <c r="B110" s="55" t="str">
        <f t="shared" si="41"/>
        <v/>
      </c>
      <c r="C110" s="55" t="str">
        <f t="shared" ca="1" si="31"/>
        <v xml:space="preserve"> </v>
      </c>
      <c r="D110" s="58" t="str">
        <f t="shared" si="39"/>
        <v/>
      </c>
      <c r="E110" s="56" t="str">
        <f t="shared" si="40"/>
        <v/>
      </c>
      <c r="F110" s="56" t="str">
        <f>IF(AND(A109="",A111=""),"",IF(A110="",ROUND(SUM($F$25:F109),2),IF(A110=$D$8,$E$24-ROUND(SUM($F$25:F109),2),ROUND($E$24/$D$8,2))))</f>
        <v/>
      </c>
      <c r="G110" s="56" t="str">
        <f>IF(A109=$D$8,ROUND(SUM($G$25:G109),2),IF(A110&gt;$D$8,"",IF(T110&lt;&gt;T109,ROUND(SUM(V110*$D$9*E109/T110,W110*$D$9*E109/T109),2),ROUND(E109*$D$9*D110/T109,2))))</f>
        <v/>
      </c>
      <c r="H110" s="56" t="str">
        <f>IF(A109=$D$8,SUM($H$25:H109),IF(A109&gt;$D$8,"",F110+G110))</f>
        <v/>
      </c>
      <c r="I110" s="56" t="str">
        <f t="shared" si="42"/>
        <v/>
      </c>
      <c r="J110" s="56" t="str">
        <f t="shared" ref="J110:J120" si="46">IF(A109=$D$8,$J$24,"")</f>
        <v/>
      </c>
      <c r="K110" s="56"/>
      <c r="L110" s="56" t="str">
        <f t="shared" si="43"/>
        <v/>
      </c>
      <c r="M110" s="56" t="str">
        <f t="shared" si="36"/>
        <v/>
      </c>
      <c r="N110" s="56" t="str">
        <f t="shared" si="37"/>
        <v/>
      </c>
      <c r="P110" s="59" t="str">
        <f>IF(A109=$D$8,XIRR(H$24:H109,C$24:C109),"")</f>
        <v/>
      </c>
      <c r="Q110" s="56" t="str">
        <f t="shared" si="35"/>
        <v/>
      </c>
      <c r="R110" s="56">
        <f t="shared" si="32"/>
        <v>0</v>
      </c>
      <c r="S110" s="21" t="e">
        <f t="shared" ca="1" si="33"/>
        <v>#VALUE!</v>
      </c>
      <c r="T110" s="21" t="e">
        <f t="shared" ca="1" si="34"/>
        <v>#VALUE!</v>
      </c>
      <c r="U110" s="21" t="e">
        <f t="shared" ca="1" si="44"/>
        <v>#VALUE!</v>
      </c>
      <c r="V110" s="60" t="e">
        <f t="shared" ca="1" si="45"/>
        <v>#VALUE!</v>
      </c>
      <c r="W110" s="61" t="e">
        <f t="shared" ca="1" si="28"/>
        <v>#VALUE!</v>
      </c>
    </row>
    <row r="111" spans="1:27" x14ac:dyDescent="0.25">
      <c r="A111" s="58" t="str">
        <f t="shared" si="30"/>
        <v/>
      </c>
      <c r="B111" s="55" t="str">
        <f t="shared" si="41"/>
        <v/>
      </c>
      <c r="C111" s="55" t="str">
        <f t="shared" ca="1" si="31"/>
        <v xml:space="preserve"> </v>
      </c>
      <c r="D111" s="58" t="str">
        <f t="shared" si="39"/>
        <v/>
      </c>
      <c r="E111" s="56" t="str">
        <f t="shared" si="40"/>
        <v/>
      </c>
      <c r="F111" s="56" t="str">
        <f>IF(AND(A110="",A112=""),"",IF(A111="",ROUND(SUM($F$25:F110),2),IF(A111=$D$8,$E$24-ROUND(SUM($F$25:F110),2),ROUND($E$24/$D$8,2))))</f>
        <v/>
      </c>
      <c r="G111" s="56" t="str">
        <f>IF(A110=$D$8,ROUND(SUM($G$25:G110),2),IF(A111&gt;$D$8,"",IF(T111&lt;&gt;T110,ROUND(SUM(V111*$D$9*E110/T111,W111*$D$9*E110/T110),2),ROUND(E110*$D$9*D111/T110,2))))</f>
        <v/>
      </c>
      <c r="H111" s="56" t="str">
        <f>IF(A110=$D$8,SUM($H$25:H110),IF(A110&gt;$D$8,"",F111+G111))</f>
        <v/>
      </c>
      <c r="I111" s="56" t="str">
        <f t="shared" si="42"/>
        <v/>
      </c>
      <c r="J111" s="56" t="str">
        <f t="shared" si="46"/>
        <v/>
      </c>
      <c r="K111" s="56"/>
      <c r="L111" s="56" t="str">
        <f t="shared" si="43"/>
        <v/>
      </c>
      <c r="M111" s="56" t="str">
        <f t="shared" si="36"/>
        <v/>
      </c>
      <c r="N111" s="56" t="str">
        <f t="shared" si="37"/>
        <v/>
      </c>
      <c r="P111" s="59" t="str">
        <f>IF(A110=$D$8,XIRR(H$24:H110,C$24:C110),"")</f>
        <v/>
      </c>
      <c r="Q111" s="56" t="str">
        <f t="shared" si="35"/>
        <v/>
      </c>
      <c r="R111" s="56">
        <f t="shared" si="32"/>
        <v>0</v>
      </c>
      <c r="S111" s="21" t="e">
        <f t="shared" ca="1" si="33"/>
        <v>#VALUE!</v>
      </c>
      <c r="T111" s="21" t="e">
        <f t="shared" ca="1" si="34"/>
        <v>#VALUE!</v>
      </c>
      <c r="U111" s="21" t="e">
        <f t="shared" ca="1" si="44"/>
        <v>#VALUE!</v>
      </c>
      <c r="V111" s="60" t="e">
        <f t="shared" ca="1" si="45"/>
        <v>#VALUE!</v>
      </c>
      <c r="W111" s="61" t="e">
        <f t="shared" ca="1" si="28"/>
        <v>#VALUE!</v>
      </c>
    </row>
    <row r="112" spans="1:27" x14ac:dyDescent="0.25">
      <c r="A112" s="58" t="str">
        <f t="shared" si="30"/>
        <v/>
      </c>
      <c r="B112" s="55" t="str">
        <f t="shared" si="41"/>
        <v/>
      </c>
      <c r="C112" s="55" t="str">
        <f t="shared" ca="1" si="31"/>
        <v xml:space="preserve"> </v>
      </c>
      <c r="D112" s="58" t="str">
        <f t="shared" si="39"/>
        <v/>
      </c>
      <c r="E112" s="56" t="str">
        <f t="shared" si="40"/>
        <v/>
      </c>
      <c r="F112" s="56" t="str">
        <f>IF(AND(A111="",A113=""),"",IF(A112="",ROUND(SUM($F$25:F111),2),IF(A112=$D$8,$E$24-ROUND(SUM($F$25:F111),2),ROUND($E$24/$D$8,2))))</f>
        <v/>
      </c>
      <c r="G112" s="56" t="str">
        <f>IF(A111=$D$8,ROUND(SUM($G$25:G111),2),IF(A112&gt;$D$8,"",IF(T112&lt;&gt;T111,ROUND(SUM(V112*$D$9*E111/T112,W112*$D$9*E111/T111),2),ROUND(E111*$D$9*D112/T111,2))))</f>
        <v/>
      </c>
      <c r="H112" s="56" t="str">
        <f>IF(A111=$D$8,SUM($H$25:H111),IF(A111&gt;$D$8,"",F112+G112))</f>
        <v/>
      </c>
      <c r="I112" s="56" t="str">
        <f t="shared" si="42"/>
        <v/>
      </c>
      <c r="J112" s="56" t="str">
        <f t="shared" si="46"/>
        <v/>
      </c>
      <c r="K112" s="56"/>
      <c r="L112" s="56" t="str">
        <f t="shared" si="43"/>
        <v/>
      </c>
      <c r="M112" s="56" t="str">
        <f t="shared" si="36"/>
        <v/>
      </c>
      <c r="N112" s="56" t="str">
        <f t="shared" si="37"/>
        <v/>
      </c>
      <c r="P112" s="59" t="str">
        <f>IF(A111=$D$8,XIRR(H$24:H111,C$24:C111),"")</f>
        <v/>
      </c>
      <c r="Q112" s="56" t="str">
        <f t="shared" si="35"/>
        <v/>
      </c>
      <c r="R112" s="56">
        <f t="shared" si="32"/>
        <v>0</v>
      </c>
      <c r="S112" s="21" t="e">
        <f t="shared" ca="1" si="33"/>
        <v>#VALUE!</v>
      </c>
      <c r="T112" s="21" t="e">
        <f t="shared" ca="1" si="34"/>
        <v>#VALUE!</v>
      </c>
      <c r="U112" s="21" t="e">
        <f t="shared" ca="1" si="44"/>
        <v>#VALUE!</v>
      </c>
      <c r="V112" s="60" t="e">
        <f t="shared" ca="1" si="45"/>
        <v>#VALUE!</v>
      </c>
      <c r="W112" s="61" t="e">
        <f t="shared" ca="1" si="28"/>
        <v>#VALUE!</v>
      </c>
    </row>
    <row r="113" spans="1:23" x14ac:dyDescent="0.25">
      <c r="A113" s="58" t="str">
        <f t="shared" si="30"/>
        <v/>
      </c>
      <c r="B113" s="55" t="str">
        <f t="shared" si="41"/>
        <v/>
      </c>
      <c r="C113" s="55" t="str">
        <f t="shared" ca="1" si="31"/>
        <v xml:space="preserve"> </v>
      </c>
      <c r="D113" s="58" t="str">
        <f t="shared" si="39"/>
        <v/>
      </c>
      <c r="E113" s="56" t="str">
        <f t="shared" si="40"/>
        <v/>
      </c>
      <c r="F113" s="56" t="str">
        <f>IF(AND(A112="",A114=""),"",IF(A113="",ROUND(SUM($F$25:F112),2),IF(A113=$D$8,$E$24-ROUND(SUM($F$25:F112),2),ROUND($E$24/$D$8,2))))</f>
        <v/>
      </c>
      <c r="G113" s="56" t="str">
        <f>IF(A112=$D$8,ROUND(SUM($G$25:G112),2),IF(A113&gt;$D$8,"",IF(T113&lt;&gt;T112,ROUND(SUM(V113*$D$9*E112/T113,W113*$D$9*E112/T112),2),ROUND(E112*$D$9*D113/T112,2))))</f>
        <v/>
      </c>
      <c r="H113" s="56" t="str">
        <f>IF(A112=$D$8,SUM($H$25:H112),IF(A112&gt;$D$8,"",F113+G113))</f>
        <v/>
      </c>
      <c r="I113" s="56" t="str">
        <f t="shared" si="42"/>
        <v/>
      </c>
      <c r="J113" s="56" t="str">
        <f t="shared" si="46"/>
        <v/>
      </c>
      <c r="K113" s="56"/>
      <c r="L113" s="56" t="str">
        <f t="shared" si="43"/>
        <v/>
      </c>
      <c r="M113" s="56" t="str">
        <f t="shared" si="36"/>
        <v/>
      </c>
      <c r="N113" s="56" t="str">
        <f t="shared" si="37"/>
        <v/>
      </c>
      <c r="P113" s="59" t="str">
        <f>IF(A112=$D$8,XIRR(H$24:H112,C$24:C112),"")</f>
        <v/>
      </c>
      <c r="Q113" s="56" t="str">
        <f t="shared" si="35"/>
        <v/>
      </c>
      <c r="R113" s="56">
        <f t="shared" si="32"/>
        <v>0</v>
      </c>
      <c r="S113" s="21" t="e">
        <f t="shared" ca="1" si="33"/>
        <v>#VALUE!</v>
      </c>
      <c r="T113" s="21" t="e">
        <f t="shared" ca="1" si="34"/>
        <v>#VALUE!</v>
      </c>
      <c r="U113" s="21" t="e">
        <f t="shared" ca="1" si="44"/>
        <v>#VALUE!</v>
      </c>
      <c r="V113" s="60" t="e">
        <f t="shared" ca="1" si="45"/>
        <v>#VALUE!</v>
      </c>
      <c r="W113" s="61" t="e">
        <f t="shared" ca="1" si="28"/>
        <v>#VALUE!</v>
      </c>
    </row>
    <row r="114" spans="1:23" x14ac:dyDescent="0.25">
      <c r="A114" s="58" t="str">
        <f t="shared" si="30"/>
        <v/>
      </c>
      <c r="B114" s="55" t="str">
        <f t="shared" si="41"/>
        <v/>
      </c>
      <c r="C114" s="55" t="str">
        <f t="shared" ca="1" si="31"/>
        <v xml:space="preserve"> </v>
      </c>
      <c r="D114" s="58" t="str">
        <f t="shared" si="39"/>
        <v/>
      </c>
      <c r="E114" s="56" t="str">
        <f t="shared" si="40"/>
        <v/>
      </c>
      <c r="F114" s="56" t="str">
        <f>IF(AND(A113="",A115=""),"",IF(A114="",ROUND(SUM($F$25:F113),2),IF(A114=$D$8,$E$24-ROUND(SUM($F$25:F113),2),ROUND($E$24/$D$8,2))))</f>
        <v/>
      </c>
      <c r="G114" s="56" t="str">
        <f>IF(A113=$D$8,ROUND(SUM($G$25:G113),2),IF(A114&gt;$D$8,"",IF(T114&lt;&gt;T113,ROUND(SUM(V114*$D$9*E113/T114,W114*$D$9*E113/T113),2),ROUND(E113*$D$9*D114/T113,2))))</f>
        <v/>
      </c>
      <c r="H114" s="56" t="str">
        <f>IF(A113=$D$8,SUM($H$25:H113),IF(A113&gt;$D$8,"",F114+G114))</f>
        <v/>
      </c>
      <c r="I114" s="56" t="str">
        <f t="shared" si="42"/>
        <v/>
      </c>
      <c r="J114" s="56" t="str">
        <f t="shared" si="46"/>
        <v/>
      </c>
      <c r="K114" s="56"/>
      <c r="L114" s="56" t="str">
        <f t="shared" si="43"/>
        <v/>
      </c>
      <c r="M114" s="56" t="str">
        <f t="shared" si="36"/>
        <v/>
      </c>
      <c r="N114" s="56" t="str">
        <f t="shared" si="37"/>
        <v/>
      </c>
      <c r="P114" s="59" t="str">
        <f>IF(A113=$D$8,XIRR(H$24:H113,C$24:C113),"")</f>
        <v/>
      </c>
      <c r="Q114" s="56" t="str">
        <f t="shared" si="35"/>
        <v/>
      </c>
      <c r="R114" s="56">
        <f t="shared" si="32"/>
        <v>0</v>
      </c>
      <c r="S114" s="21" t="e">
        <f t="shared" ca="1" si="33"/>
        <v>#VALUE!</v>
      </c>
      <c r="T114" s="21" t="e">
        <f t="shared" ca="1" si="34"/>
        <v>#VALUE!</v>
      </c>
      <c r="U114" s="21" t="e">
        <f t="shared" ca="1" si="44"/>
        <v>#VALUE!</v>
      </c>
      <c r="V114" s="60" t="e">
        <f t="shared" ca="1" si="45"/>
        <v>#VALUE!</v>
      </c>
      <c r="W114" s="61" t="e">
        <f t="shared" ca="1" si="28"/>
        <v>#VALUE!</v>
      </c>
    </row>
    <row r="115" spans="1:23" x14ac:dyDescent="0.25">
      <c r="A115" s="58" t="str">
        <f t="shared" si="30"/>
        <v/>
      </c>
      <c r="B115" s="55" t="str">
        <f t="shared" si="41"/>
        <v/>
      </c>
      <c r="C115" s="55" t="str">
        <f t="shared" ca="1" si="31"/>
        <v xml:space="preserve"> </v>
      </c>
      <c r="D115" s="58" t="str">
        <f t="shared" si="39"/>
        <v/>
      </c>
      <c r="E115" s="56" t="str">
        <f t="shared" si="40"/>
        <v/>
      </c>
      <c r="F115" s="56" t="str">
        <f>IF(AND(A114="",A116=""),"",IF(A115="",ROUND(SUM($F$25:F114),2),IF(A115=$D$8,$E$24-ROUND(SUM($F$25:F114),2),ROUND($E$24/$D$8,2))))</f>
        <v/>
      </c>
      <c r="G115" s="56" t="str">
        <f>IF(A114=$D$8,ROUND(SUM($G$25:G114),2),IF(A115&gt;$D$8,"",IF(T115&lt;&gt;T114,ROUND(SUM(V115*$D$9*E114/T115,W115*$D$9*E114/T114),2),ROUND(E114*$D$9*D115/T114,2))))</f>
        <v/>
      </c>
      <c r="H115" s="56" t="str">
        <f>IF(A114=$D$8,SUM($H$25:H114),IF(A114&gt;$D$8,"",F115+G115))</f>
        <v/>
      </c>
      <c r="I115" s="56" t="str">
        <f t="shared" si="42"/>
        <v/>
      </c>
      <c r="J115" s="56" t="str">
        <f t="shared" si="46"/>
        <v/>
      </c>
      <c r="K115" s="56"/>
      <c r="L115" s="56" t="str">
        <f t="shared" si="43"/>
        <v/>
      </c>
      <c r="M115" s="56" t="str">
        <f t="shared" si="36"/>
        <v/>
      </c>
      <c r="N115" s="56" t="str">
        <f t="shared" si="37"/>
        <v/>
      </c>
      <c r="P115" s="59" t="str">
        <f>IF(A114=$D$8,XIRR(H$24:H114,C$24:C114),"")</f>
        <v/>
      </c>
      <c r="Q115" s="56" t="str">
        <f t="shared" si="35"/>
        <v/>
      </c>
      <c r="R115" s="56">
        <f t="shared" si="32"/>
        <v>0</v>
      </c>
      <c r="S115" s="21" t="e">
        <f t="shared" ca="1" si="33"/>
        <v>#VALUE!</v>
      </c>
      <c r="T115" s="21" t="e">
        <f t="shared" ca="1" si="34"/>
        <v>#VALUE!</v>
      </c>
      <c r="U115" s="21" t="e">
        <f t="shared" ca="1" si="44"/>
        <v>#VALUE!</v>
      </c>
      <c r="V115" s="60" t="e">
        <f t="shared" ca="1" si="45"/>
        <v>#VALUE!</v>
      </c>
      <c r="W115" s="61" t="e">
        <f t="shared" ca="1" si="28"/>
        <v>#VALUE!</v>
      </c>
    </row>
    <row r="116" spans="1:23" x14ac:dyDescent="0.25">
      <c r="A116" s="58" t="str">
        <f t="shared" si="30"/>
        <v/>
      </c>
      <c r="B116" s="55" t="str">
        <f t="shared" si="41"/>
        <v/>
      </c>
      <c r="C116" s="55" t="str">
        <f t="shared" ca="1" si="31"/>
        <v xml:space="preserve"> </v>
      </c>
      <c r="D116" s="58" t="str">
        <f t="shared" si="39"/>
        <v/>
      </c>
      <c r="E116" s="56" t="str">
        <f t="shared" si="40"/>
        <v/>
      </c>
      <c r="F116" s="56" t="str">
        <f>IF(AND(A115="",A117=""),"",IF(A116="",ROUND(SUM($F$25:F115),2),IF(A116=$D$8,$E$24-ROUND(SUM($F$25:F115),2),ROUND($E$24/$D$8,2))))</f>
        <v/>
      </c>
      <c r="G116" s="56" t="str">
        <f>IF(A115=$D$8,ROUND(SUM($G$25:G115),2),IF(A116&gt;$D$8,"",IF(T116&lt;&gt;T115,ROUND(SUM(V116*$D$9*E115/T116,W116*$D$9*E115/T115),2),ROUND(E115*$D$9*D116/T115,2))))</f>
        <v/>
      </c>
      <c r="H116" s="56" t="str">
        <f>IF(A115=$D$8,SUM($H$25:H115),IF(A115&gt;$D$8,"",F116+G116))</f>
        <v/>
      </c>
      <c r="I116" s="56" t="str">
        <f t="shared" si="42"/>
        <v/>
      </c>
      <c r="J116" s="56" t="str">
        <f t="shared" si="46"/>
        <v/>
      </c>
      <c r="K116" s="56"/>
      <c r="L116" s="56" t="str">
        <f t="shared" si="43"/>
        <v/>
      </c>
      <c r="M116" s="56" t="str">
        <f t="shared" si="36"/>
        <v/>
      </c>
      <c r="N116" s="56" t="str">
        <f t="shared" si="37"/>
        <v/>
      </c>
      <c r="P116" s="59" t="str">
        <f>IF(A115=$D$8,XIRR(H$24:H115,C$24:C115),"")</f>
        <v/>
      </c>
      <c r="Q116" s="56" t="str">
        <f t="shared" si="35"/>
        <v/>
      </c>
      <c r="R116" s="56">
        <f t="shared" si="32"/>
        <v>0</v>
      </c>
      <c r="S116" s="21" t="e">
        <f t="shared" ca="1" si="33"/>
        <v>#VALUE!</v>
      </c>
      <c r="T116" s="21" t="e">
        <f t="shared" ca="1" si="34"/>
        <v>#VALUE!</v>
      </c>
      <c r="U116" s="21" t="e">
        <f t="shared" ca="1" si="44"/>
        <v>#VALUE!</v>
      </c>
      <c r="V116" s="60" t="e">
        <f t="shared" ca="1" si="45"/>
        <v>#VALUE!</v>
      </c>
      <c r="W116" s="61" t="e">
        <f t="shared" ca="1" si="28"/>
        <v>#VALUE!</v>
      </c>
    </row>
    <row r="117" spans="1:23" x14ac:dyDescent="0.25">
      <c r="A117" s="58" t="str">
        <f t="shared" si="30"/>
        <v/>
      </c>
      <c r="B117" s="55" t="str">
        <f t="shared" si="41"/>
        <v/>
      </c>
      <c r="C117" s="55" t="str">
        <f t="shared" ca="1" si="31"/>
        <v xml:space="preserve"> </v>
      </c>
      <c r="D117" s="58" t="str">
        <f t="shared" si="39"/>
        <v/>
      </c>
      <c r="E117" s="56" t="str">
        <f t="shared" si="40"/>
        <v/>
      </c>
      <c r="F117" s="56" t="str">
        <f>IF(AND(A116="",A118=""),"",IF(A117="",ROUND(SUM($F$25:F116),2),IF(A117=$D$8,$E$24-ROUND(SUM($F$25:F116),2),ROUND($E$24/$D$8,2))))</f>
        <v/>
      </c>
      <c r="G117" s="56" t="str">
        <f>IF(A116=$D$8,ROUND(SUM($G$25:G116),2),IF(A117&gt;$D$8,"",IF(T117&lt;&gt;T116,ROUND(SUM(V117*$D$9*E116/T117,W117*$D$9*E116/T116),2),ROUND(E116*$D$9*D117/T116,2))))</f>
        <v/>
      </c>
      <c r="H117" s="56" t="str">
        <f>IF(A116=$D$8,SUM($H$25:H116),IF(A116&gt;$D$8,"",F117+G117))</f>
        <v/>
      </c>
      <c r="I117" s="56" t="str">
        <f t="shared" si="42"/>
        <v/>
      </c>
      <c r="J117" s="56" t="str">
        <f t="shared" si="46"/>
        <v/>
      </c>
      <c r="K117" s="56"/>
      <c r="L117" s="56" t="str">
        <f t="shared" si="43"/>
        <v/>
      </c>
      <c r="M117" s="56" t="str">
        <f t="shared" si="36"/>
        <v/>
      </c>
      <c r="N117" s="56" t="str">
        <f t="shared" si="37"/>
        <v/>
      </c>
      <c r="P117" s="59" t="str">
        <f>IF(A116=$D$8,XIRR(H$24:H116,C$24:C116),"")</f>
        <v/>
      </c>
      <c r="Q117" s="56" t="str">
        <f t="shared" si="35"/>
        <v/>
      </c>
      <c r="R117" s="56">
        <f t="shared" si="32"/>
        <v>0</v>
      </c>
      <c r="S117" s="21" t="e">
        <f t="shared" ca="1" si="33"/>
        <v>#VALUE!</v>
      </c>
      <c r="T117" s="21" t="e">
        <f t="shared" ca="1" si="34"/>
        <v>#VALUE!</v>
      </c>
      <c r="U117" s="21" t="e">
        <f t="shared" ca="1" si="44"/>
        <v>#VALUE!</v>
      </c>
      <c r="V117" s="60" t="e">
        <f t="shared" ca="1" si="45"/>
        <v>#VALUE!</v>
      </c>
      <c r="W117" s="61" t="e">
        <f t="shared" ca="1" si="28"/>
        <v>#VALUE!</v>
      </c>
    </row>
    <row r="118" spans="1:23" x14ac:dyDescent="0.25">
      <c r="A118" s="58" t="str">
        <f t="shared" si="30"/>
        <v/>
      </c>
      <c r="B118" s="55" t="str">
        <f t="shared" si="41"/>
        <v/>
      </c>
      <c r="C118" s="55" t="str">
        <f t="shared" ca="1" si="31"/>
        <v xml:space="preserve"> </v>
      </c>
      <c r="D118" s="58" t="str">
        <f t="shared" si="39"/>
        <v/>
      </c>
      <c r="E118" s="56" t="str">
        <f t="shared" si="40"/>
        <v/>
      </c>
      <c r="F118" s="56" t="str">
        <f>IF(AND(A117="",A119=""),"",IF(A118="",ROUND(SUM($F$25:F117),2),IF(A118=$D$8,$E$24-ROUND(SUM($F$25:F117),2),ROUND($E$24/$D$8,2))))</f>
        <v/>
      </c>
      <c r="G118" s="56" t="str">
        <f>IF(A117=$D$8,ROUND(SUM($G$25:G117),2),IF(A118&gt;$D$8,"",IF(T118&lt;&gt;T117,ROUND(SUM(V118*$D$9*E117/T118,W118*$D$9*E117/T117),2),ROUND(E117*$D$9*D118/T117,2))))</f>
        <v/>
      </c>
      <c r="H118" s="56" t="str">
        <f>IF(A117=$D$8,SUM($H$25:H117),IF(A117&gt;$D$8,"",F118+G118))</f>
        <v/>
      </c>
      <c r="I118" s="56" t="str">
        <f t="shared" si="42"/>
        <v/>
      </c>
      <c r="J118" s="56" t="str">
        <f t="shared" si="46"/>
        <v/>
      </c>
      <c r="K118" s="56"/>
      <c r="L118" s="56" t="str">
        <f t="shared" si="43"/>
        <v/>
      </c>
      <c r="M118" s="56" t="str">
        <f t="shared" si="36"/>
        <v/>
      </c>
      <c r="N118" s="56" t="str">
        <f t="shared" si="37"/>
        <v/>
      </c>
      <c r="P118" s="59" t="str">
        <f>IF(A117=$D$8,XIRR(H$24:H117,C$24:C117),"")</f>
        <v/>
      </c>
      <c r="Q118" s="56" t="str">
        <f t="shared" si="35"/>
        <v/>
      </c>
      <c r="R118" s="56">
        <f t="shared" si="32"/>
        <v>0</v>
      </c>
      <c r="S118" s="21" t="e">
        <f t="shared" ca="1" si="33"/>
        <v>#VALUE!</v>
      </c>
      <c r="T118" s="21" t="e">
        <f t="shared" ca="1" si="34"/>
        <v>#VALUE!</v>
      </c>
      <c r="U118" s="21" t="e">
        <f t="shared" ca="1" si="44"/>
        <v>#VALUE!</v>
      </c>
      <c r="V118" s="60" t="e">
        <f t="shared" ca="1" si="45"/>
        <v>#VALUE!</v>
      </c>
      <c r="W118" s="61" t="e">
        <f t="shared" ca="1" si="28"/>
        <v>#VALUE!</v>
      </c>
    </row>
    <row r="119" spans="1:23" x14ac:dyDescent="0.25">
      <c r="A119" s="58" t="str">
        <f t="shared" si="30"/>
        <v/>
      </c>
      <c r="B119" s="55" t="str">
        <f t="shared" si="41"/>
        <v/>
      </c>
      <c r="C119" s="55" t="str">
        <f t="shared" ca="1" si="31"/>
        <v xml:space="preserve"> </v>
      </c>
      <c r="D119" s="58" t="str">
        <f t="shared" si="39"/>
        <v/>
      </c>
      <c r="E119" s="56" t="str">
        <f t="shared" si="40"/>
        <v/>
      </c>
      <c r="F119" s="56" t="str">
        <f>IF(AND(A118="",A120=""),"",IF(A119="",ROUND(SUM($F$25:F118),2),IF(A119=$D$8,$E$24-ROUND(SUM($F$25:F118),2),ROUND($E$24/$D$8,2))))</f>
        <v/>
      </c>
      <c r="G119" s="56" t="str">
        <f>IF(A118=$D$8,ROUND(SUM($G$25:G118),2),IF(A119&gt;$D$8,"",IF(T119&lt;&gt;T118,ROUND(SUM(V119*$D$9*E118/T119,W119*$D$9*E118/T118),2),ROUND(E118*$D$9*D119/T118,2))))</f>
        <v/>
      </c>
      <c r="H119" s="56" t="str">
        <f>IF(A118=$D$8,SUM($H$25:H118),IF(A118&gt;$D$8,"",F119+G119))</f>
        <v/>
      </c>
      <c r="I119" s="56" t="str">
        <f t="shared" si="42"/>
        <v/>
      </c>
      <c r="J119" s="56" t="str">
        <f t="shared" si="46"/>
        <v/>
      </c>
      <c r="K119" s="56"/>
      <c r="L119" s="56" t="str">
        <f t="shared" si="43"/>
        <v/>
      </c>
      <c r="M119" s="56" t="str">
        <f t="shared" si="36"/>
        <v/>
      </c>
      <c r="N119" s="56" t="str">
        <f t="shared" si="37"/>
        <v/>
      </c>
      <c r="P119" s="59" t="str">
        <f>IF(A118=$D$8,XIRR(H$24:H118,C$24:C118),"")</f>
        <v/>
      </c>
      <c r="Q119" s="56" t="str">
        <f t="shared" si="35"/>
        <v/>
      </c>
      <c r="R119" s="56">
        <f t="shared" si="32"/>
        <v>0</v>
      </c>
      <c r="S119" s="21" t="e">
        <f t="shared" ca="1" si="33"/>
        <v>#VALUE!</v>
      </c>
      <c r="T119" s="21" t="e">
        <f t="shared" ca="1" si="34"/>
        <v>#VALUE!</v>
      </c>
      <c r="U119" s="21" t="e">
        <f t="shared" ca="1" si="44"/>
        <v>#VALUE!</v>
      </c>
      <c r="V119" s="60" t="e">
        <f t="shared" ca="1" si="45"/>
        <v>#VALUE!</v>
      </c>
      <c r="W119" s="61" t="e">
        <f t="shared" ca="1" si="28"/>
        <v>#VALUE!</v>
      </c>
    </row>
    <row r="120" spans="1:23" x14ac:dyDescent="0.25">
      <c r="A120" s="58" t="str">
        <f t="shared" si="30"/>
        <v/>
      </c>
      <c r="B120" s="55" t="str">
        <f t="shared" si="41"/>
        <v/>
      </c>
      <c r="C120" s="55" t="str">
        <f t="shared" ca="1" si="31"/>
        <v xml:space="preserve"> </v>
      </c>
      <c r="D120" s="58" t="str">
        <f t="shared" si="39"/>
        <v/>
      </c>
      <c r="E120" s="56" t="str">
        <f t="shared" si="40"/>
        <v/>
      </c>
      <c r="F120" s="56" t="str">
        <f>IF(AND(A119="",A121=""),"",IF(A120="",ROUND(SUM($F$25:F119),2),IF(A120=$D$8,$E$24-ROUND(SUM($F$25:F119),2),ROUND($E$24/$D$8,2))))</f>
        <v/>
      </c>
      <c r="G120" s="56" t="str">
        <f>IF(A119=$D$8,ROUND(SUM($G$25:G119),2),IF(A120&gt;$D$8,"",IF(T120&lt;&gt;T119,ROUND(SUM(V120*$D$9*E119/T120,W120*$D$9*E119/T119),2),ROUND(E119*$D$9*D120/T119,2))))</f>
        <v/>
      </c>
      <c r="H120" s="56" t="str">
        <f>IF(A119=$D$8,SUM($H$25:H119),IF(A119&gt;$D$8,"",F120+G120))</f>
        <v/>
      </c>
      <c r="I120" s="56" t="str">
        <f t="shared" si="42"/>
        <v/>
      </c>
      <c r="J120" s="56" t="str">
        <f t="shared" si="46"/>
        <v/>
      </c>
      <c r="K120" s="56"/>
      <c r="L120" s="56" t="str">
        <f t="shared" si="43"/>
        <v/>
      </c>
      <c r="M120" s="56" t="str">
        <f t="shared" si="36"/>
        <v/>
      </c>
      <c r="N120" s="56" t="str">
        <f t="shared" si="37"/>
        <v/>
      </c>
      <c r="P120" s="59" t="str">
        <f>IF(A119=$D$8,XIRR(H$24:H119,C$24:C119),"")</f>
        <v/>
      </c>
      <c r="Q120" s="56" t="str">
        <f t="shared" si="35"/>
        <v/>
      </c>
      <c r="R120" s="56">
        <f t="shared" si="32"/>
        <v>0</v>
      </c>
      <c r="S120" s="21" t="e">
        <f t="shared" ca="1" si="33"/>
        <v>#VALUE!</v>
      </c>
      <c r="T120" s="21" t="e">
        <f t="shared" ca="1" si="34"/>
        <v>#VALUE!</v>
      </c>
      <c r="U120" s="21" t="e">
        <f t="shared" ca="1" si="44"/>
        <v>#VALUE!</v>
      </c>
      <c r="V120" s="60" t="e">
        <f t="shared" ca="1" si="45"/>
        <v>#VALUE!</v>
      </c>
      <c r="W120" s="61" t="e">
        <f t="shared" ca="1" si="28"/>
        <v>#VALUE!</v>
      </c>
    </row>
    <row r="121" spans="1:23" x14ac:dyDescent="0.25">
      <c r="A121" s="58" t="str">
        <f t="shared" si="30"/>
        <v/>
      </c>
      <c r="B121" s="55" t="str">
        <f t="shared" si="41"/>
        <v/>
      </c>
      <c r="C121" s="55" t="str">
        <f t="shared" ca="1" si="31"/>
        <v xml:space="preserve"> </v>
      </c>
      <c r="D121" s="58" t="str">
        <f t="shared" si="39"/>
        <v/>
      </c>
      <c r="E121" s="56" t="str">
        <f t="shared" si="40"/>
        <v/>
      </c>
      <c r="F121" s="56" t="str">
        <f>IF(AND(A120="",A122=""),"",IF(A121="",ROUND(SUM($F$25:F120),2),IF(A121=$D$8,$E$24-ROUND(SUM($F$25:F120),2),ROUND($E$24/$D$8,2))))</f>
        <v/>
      </c>
      <c r="G121" s="56" t="str">
        <f>IF(A120=$D$8,ROUND(SUM($G$25:G120),2),IF(A121&gt;$D$8,"",IF(T121&lt;&gt;T120,ROUND(SUM(V121*$D$9*E120/T121,W121*$D$9*E120/T120),2),ROUND(E120*$D$9*D121/T120,2))))</f>
        <v/>
      </c>
      <c r="H121" s="56" t="str">
        <f>IF(A120=$D$8,SUM($H$25:H120),IF(A120&gt;$D$8,"",F121+G121))</f>
        <v/>
      </c>
      <c r="I121" s="56" t="str">
        <f t="shared" si="42"/>
        <v/>
      </c>
      <c r="J121" s="56" t="str">
        <f>IF($D$8&gt;A120,$N$9,IF($D$8=A120,SUM($J$24:J120)," "))</f>
        <v xml:space="preserve"> </v>
      </c>
      <c r="K121" s="56" t="str">
        <f>IF($D$8&gt;96,($O$8+$N$10*E120),IF($A$120=$D$8,$K$37+$K$24+$K$49+$K$61+$K$73+$K$85+$K$97+$K$109,""))</f>
        <v/>
      </c>
      <c r="L121" s="56" t="str">
        <f t="shared" si="43"/>
        <v/>
      </c>
      <c r="M121" s="56" t="str">
        <f t="shared" si="36"/>
        <v/>
      </c>
      <c r="N121" s="56" t="str">
        <f t="shared" si="37"/>
        <v/>
      </c>
      <c r="P121" s="59" t="str">
        <f>IF(A120=$D$8,XIRR(H$24:H120,C$24:C120),"")</f>
        <v/>
      </c>
      <c r="Q121" s="56" t="str">
        <f t="shared" si="35"/>
        <v/>
      </c>
      <c r="R121" s="56">
        <f t="shared" si="32"/>
        <v>0</v>
      </c>
      <c r="S121" s="21" t="e">
        <f t="shared" ca="1" si="33"/>
        <v>#VALUE!</v>
      </c>
      <c r="T121" s="21" t="e">
        <f t="shared" ca="1" si="34"/>
        <v>#VALUE!</v>
      </c>
      <c r="U121" s="21" t="e">
        <f t="shared" ca="1" si="44"/>
        <v>#VALUE!</v>
      </c>
      <c r="V121" s="60" t="e">
        <f t="shared" ca="1" si="45"/>
        <v>#VALUE!</v>
      </c>
      <c r="W121" s="61" t="e">
        <f t="shared" ca="1" si="28"/>
        <v>#VALUE!</v>
      </c>
    </row>
    <row r="122" spans="1:23" x14ac:dyDescent="0.25">
      <c r="A122" s="58" t="str">
        <f t="shared" si="30"/>
        <v/>
      </c>
      <c r="B122" s="55" t="str">
        <f t="shared" si="41"/>
        <v/>
      </c>
      <c r="C122" s="55" t="str">
        <f t="shared" ca="1" si="31"/>
        <v xml:space="preserve"> </v>
      </c>
      <c r="D122" s="58" t="str">
        <f t="shared" si="39"/>
        <v/>
      </c>
      <c r="E122" s="56" t="str">
        <f t="shared" si="40"/>
        <v/>
      </c>
      <c r="F122" s="56" t="str">
        <f>IF(AND(A121="",A123=""),"",IF(A122="",ROUND(SUM($F$25:F121),2),IF(A122=$D$8,$E$24-ROUND(SUM($F$25:F121),2),ROUND($E$24/$D$8,2))))</f>
        <v/>
      </c>
      <c r="G122" s="56" t="str">
        <f>IF(A121=$D$8,ROUND(SUM($G$25:G121),2),IF(A122&gt;$D$8,"",IF(T122&lt;&gt;T121,ROUND(SUM(V122*$D$9*E121/T122,W122*$D$9*E121/T121),2),ROUND(E121*$D$9*D122/T121,2))))</f>
        <v/>
      </c>
      <c r="H122" s="56" t="str">
        <f>IF(A121=$D$8,SUM($H$25:H121),IF(A121&gt;$D$8,"",F122+G122))</f>
        <v/>
      </c>
      <c r="I122" s="56" t="str">
        <f t="shared" si="42"/>
        <v/>
      </c>
      <c r="J122" s="56" t="str">
        <f t="shared" ref="J122:J132" si="47">IF(A121=$D$8,$J$24,"")</f>
        <v/>
      </c>
      <c r="K122" s="56"/>
      <c r="L122" s="56" t="str">
        <f t="shared" si="43"/>
        <v/>
      </c>
      <c r="M122" s="56" t="str">
        <f t="shared" si="36"/>
        <v/>
      </c>
      <c r="N122" s="56" t="str">
        <f t="shared" si="37"/>
        <v/>
      </c>
      <c r="P122" s="59" t="str">
        <f>IF(A121=$D$8,XIRR(H$24:H121,C$24:C121),"")</f>
        <v/>
      </c>
      <c r="Q122" s="56" t="str">
        <f t="shared" si="35"/>
        <v/>
      </c>
      <c r="R122" s="56">
        <f t="shared" si="32"/>
        <v>0</v>
      </c>
      <c r="S122" s="21" t="e">
        <f t="shared" ca="1" si="33"/>
        <v>#VALUE!</v>
      </c>
      <c r="T122" s="21" t="e">
        <f t="shared" ca="1" si="34"/>
        <v>#VALUE!</v>
      </c>
      <c r="U122" s="21" t="e">
        <f t="shared" ca="1" si="44"/>
        <v>#VALUE!</v>
      </c>
      <c r="V122" s="60" t="e">
        <f t="shared" ca="1" si="45"/>
        <v>#VALUE!</v>
      </c>
      <c r="W122" s="61" t="e">
        <f t="shared" ca="1" si="28"/>
        <v>#VALUE!</v>
      </c>
    </row>
    <row r="123" spans="1:23" x14ac:dyDescent="0.25">
      <c r="A123" s="58" t="str">
        <f t="shared" si="30"/>
        <v/>
      </c>
      <c r="B123" s="55" t="str">
        <f t="shared" si="41"/>
        <v/>
      </c>
      <c r="C123" s="55" t="str">
        <f t="shared" ca="1" si="31"/>
        <v xml:space="preserve"> </v>
      </c>
      <c r="D123" s="58" t="str">
        <f t="shared" si="39"/>
        <v/>
      </c>
      <c r="E123" s="56" t="str">
        <f t="shared" si="40"/>
        <v/>
      </c>
      <c r="F123" s="56" t="str">
        <f>IF(AND(A122="",A124=""),"",IF(A123="",ROUND(SUM($F$25:F122),2),IF(A123=$D$8,$E$24-ROUND(SUM($F$25:F122),2),ROUND($E$24/$D$8,2))))</f>
        <v/>
      </c>
      <c r="G123" s="56" t="str">
        <f>IF(A122=$D$8,ROUND(SUM($G$25:G122),2),IF(A123&gt;$D$8,"",IF(T123&lt;&gt;T122,ROUND(SUM(V123*$D$9*E122/T123,W123*$D$9*E122/T122),2),ROUND(E122*$D$9*D123/T122,2))))</f>
        <v/>
      </c>
      <c r="H123" s="56" t="str">
        <f>IF(A122=$D$8,SUM($H$25:H122),IF(A122&gt;$D$8,"",F123+G123))</f>
        <v/>
      </c>
      <c r="I123" s="56" t="str">
        <f t="shared" si="42"/>
        <v/>
      </c>
      <c r="J123" s="56" t="str">
        <f t="shared" si="47"/>
        <v/>
      </c>
      <c r="K123" s="56"/>
      <c r="L123" s="56" t="str">
        <f t="shared" si="43"/>
        <v/>
      </c>
      <c r="M123" s="56" t="str">
        <f t="shared" si="36"/>
        <v/>
      </c>
      <c r="N123" s="56" t="str">
        <f t="shared" si="37"/>
        <v/>
      </c>
      <c r="P123" s="59" t="str">
        <f>IF(A122=$D$8,XIRR(H$24:H122,C$24:C122),"")</f>
        <v/>
      </c>
      <c r="Q123" s="56" t="str">
        <f t="shared" si="35"/>
        <v/>
      </c>
      <c r="R123" s="56">
        <f t="shared" si="32"/>
        <v>0</v>
      </c>
      <c r="S123" s="21" t="e">
        <f t="shared" ca="1" si="33"/>
        <v>#VALUE!</v>
      </c>
      <c r="T123" s="21" t="e">
        <f t="shared" ca="1" si="34"/>
        <v>#VALUE!</v>
      </c>
      <c r="U123" s="21" t="e">
        <f t="shared" ca="1" si="44"/>
        <v>#VALUE!</v>
      </c>
      <c r="V123" s="60" t="e">
        <f t="shared" ca="1" si="45"/>
        <v>#VALUE!</v>
      </c>
      <c r="W123" s="61" t="e">
        <f t="shared" ca="1" si="28"/>
        <v>#VALUE!</v>
      </c>
    </row>
    <row r="124" spans="1:23" x14ac:dyDescent="0.25">
      <c r="A124" s="58" t="str">
        <f t="shared" si="30"/>
        <v/>
      </c>
      <c r="B124" s="55" t="str">
        <f t="shared" si="41"/>
        <v/>
      </c>
      <c r="C124" s="55" t="str">
        <f t="shared" ca="1" si="31"/>
        <v xml:space="preserve"> </v>
      </c>
      <c r="D124" s="58" t="str">
        <f t="shared" si="39"/>
        <v/>
      </c>
      <c r="E124" s="56" t="str">
        <f t="shared" si="40"/>
        <v/>
      </c>
      <c r="F124" s="56" t="str">
        <f>IF(AND(A123="",A125=""),"",IF(A124="",ROUND(SUM($F$25:F123),2),IF(A124=$D$8,$E$24-ROUND(SUM($F$25:F123),2),ROUND($E$24/$D$8,2))))</f>
        <v/>
      </c>
      <c r="G124" s="56" t="str">
        <f>IF(A123=$D$8,ROUND(SUM($G$25:G123),2),IF(A124&gt;$D$8,"",IF(T124&lt;&gt;T123,ROUND(SUM(V124*$D$9*E123/T124,W124*$D$9*E123/T123),2),ROUND(E123*$D$9*D124/T123,2))))</f>
        <v/>
      </c>
      <c r="H124" s="56" t="str">
        <f>IF(A123=$D$8,SUM($H$25:H123),IF(A123&gt;$D$8,"",F124+G124))</f>
        <v/>
      </c>
      <c r="I124" s="56" t="str">
        <f t="shared" si="42"/>
        <v/>
      </c>
      <c r="J124" s="56" t="str">
        <f t="shared" si="47"/>
        <v/>
      </c>
      <c r="K124" s="56"/>
      <c r="L124" s="56" t="str">
        <f t="shared" si="43"/>
        <v/>
      </c>
      <c r="M124" s="56" t="str">
        <f t="shared" si="36"/>
        <v/>
      </c>
      <c r="N124" s="56" t="str">
        <f t="shared" si="37"/>
        <v/>
      </c>
      <c r="P124" s="59" t="str">
        <f>IF(A123=$D$8,XIRR(H$24:H123,C$24:C123),"")</f>
        <v/>
      </c>
      <c r="Q124" s="56" t="str">
        <f t="shared" si="35"/>
        <v/>
      </c>
      <c r="R124" s="56">
        <f t="shared" si="32"/>
        <v>0</v>
      </c>
      <c r="S124" s="21" t="e">
        <f t="shared" ca="1" si="33"/>
        <v>#VALUE!</v>
      </c>
      <c r="T124" s="21" t="e">
        <f t="shared" ca="1" si="34"/>
        <v>#VALUE!</v>
      </c>
      <c r="U124" s="21" t="e">
        <f t="shared" ca="1" si="44"/>
        <v>#VALUE!</v>
      </c>
      <c r="V124" s="60" t="e">
        <f t="shared" ca="1" si="45"/>
        <v>#VALUE!</v>
      </c>
      <c r="W124" s="61" t="e">
        <f t="shared" ca="1" si="28"/>
        <v>#VALUE!</v>
      </c>
    </row>
    <row r="125" spans="1:23" x14ac:dyDescent="0.25">
      <c r="A125" s="58" t="str">
        <f t="shared" si="30"/>
        <v/>
      </c>
      <c r="B125" s="55" t="str">
        <f t="shared" si="41"/>
        <v/>
      </c>
      <c r="C125" s="55" t="str">
        <f t="shared" ca="1" si="31"/>
        <v xml:space="preserve"> </v>
      </c>
      <c r="D125" s="58" t="str">
        <f t="shared" si="39"/>
        <v/>
      </c>
      <c r="E125" s="56" t="str">
        <f t="shared" si="40"/>
        <v/>
      </c>
      <c r="F125" s="56" t="str">
        <f>IF(AND(A124="",A126=""),"",IF(A125="",ROUND(SUM($F$25:F124),2),IF(A125=$D$8,$E$24-ROUND(SUM($F$25:F124),2),ROUND($E$24/$D$8,2))))</f>
        <v/>
      </c>
      <c r="G125" s="56" t="str">
        <f>IF(A124=$D$8,ROUND(SUM($G$25:G124),2),IF(A125&gt;$D$8,"",IF(T125&lt;&gt;T124,ROUND(SUM(V125*$D$9*E124/T125,W125*$D$9*E124/T124),2),ROUND(E124*$D$9*D125/T124,2))))</f>
        <v/>
      </c>
      <c r="H125" s="56" t="str">
        <f>IF(A124=$D$8,SUM($H$25:H124),IF(A124&gt;$D$8,"",F125+G125))</f>
        <v/>
      </c>
      <c r="I125" s="56" t="str">
        <f t="shared" si="42"/>
        <v/>
      </c>
      <c r="J125" s="56" t="str">
        <f t="shared" si="47"/>
        <v/>
      </c>
      <c r="K125" s="56"/>
      <c r="L125" s="56" t="str">
        <f t="shared" si="43"/>
        <v/>
      </c>
      <c r="M125" s="56" t="str">
        <f t="shared" si="36"/>
        <v/>
      </c>
      <c r="N125" s="56" t="str">
        <f t="shared" si="37"/>
        <v/>
      </c>
      <c r="P125" s="59" t="str">
        <f>IF(A124=$D$8,XIRR(H$24:H124,C$24:C124),"")</f>
        <v/>
      </c>
      <c r="Q125" s="56" t="str">
        <f t="shared" si="35"/>
        <v/>
      </c>
      <c r="R125" s="56">
        <f t="shared" si="32"/>
        <v>0</v>
      </c>
      <c r="S125" s="21" t="e">
        <f t="shared" ca="1" si="33"/>
        <v>#VALUE!</v>
      </c>
      <c r="T125" s="21" t="e">
        <f t="shared" ca="1" si="34"/>
        <v>#VALUE!</v>
      </c>
      <c r="U125" s="21" t="e">
        <f t="shared" ca="1" si="44"/>
        <v>#VALUE!</v>
      </c>
      <c r="V125" s="60" t="e">
        <f t="shared" ca="1" si="45"/>
        <v>#VALUE!</v>
      </c>
      <c r="W125" s="61" t="e">
        <f t="shared" ca="1" si="28"/>
        <v>#VALUE!</v>
      </c>
    </row>
    <row r="126" spans="1:23" x14ac:dyDescent="0.25">
      <c r="A126" s="58" t="str">
        <f t="shared" si="30"/>
        <v/>
      </c>
      <c r="B126" s="55" t="str">
        <f t="shared" si="41"/>
        <v/>
      </c>
      <c r="C126" s="55" t="str">
        <f t="shared" ca="1" si="31"/>
        <v xml:space="preserve"> </v>
      </c>
      <c r="D126" s="58" t="str">
        <f t="shared" si="39"/>
        <v/>
      </c>
      <c r="E126" s="56" t="str">
        <f t="shared" si="40"/>
        <v/>
      </c>
      <c r="F126" s="56" t="str">
        <f>IF(AND(A125="",A127=""),"",IF(A126="",ROUND(SUM($F$25:F125),2),IF(A126=$D$8,$E$24-ROUND(SUM($F$25:F125),2),ROUND($E$24/$D$8,2))))</f>
        <v/>
      </c>
      <c r="G126" s="56" t="str">
        <f>IF(A125=$D$8,ROUND(SUM($G$25:G125),2),IF(A126&gt;$D$8,"",IF(T126&lt;&gt;T125,ROUND(SUM(V126*$D$9*E125/T126,W126*$D$9*E125/T125),2),ROUND(E125*$D$9*D126/T125,2))))</f>
        <v/>
      </c>
      <c r="H126" s="56" t="str">
        <f>IF(A125=$D$8,SUM($H$25:H125),IF(A125&gt;$D$8,"",F126+G126))</f>
        <v/>
      </c>
      <c r="I126" s="56" t="str">
        <f t="shared" si="42"/>
        <v/>
      </c>
      <c r="J126" s="56" t="str">
        <f t="shared" si="47"/>
        <v/>
      </c>
      <c r="K126" s="56"/>
      <c r="L126" s="56" t="str">
        <f t="shared" si="43"/>
        <v/>
      </c>
      <c r="M126" s="56" t="str">
        <f t="shared" si="36"/>
        <v/>
      </c>
      <c r="N126" s="56" t="str">
        <f t="shared" si="37"/>
        <v/>
      </c>
      <c r="P126" s="59" t="str">
        <f>IF(A125=$D$8,XIRR(H$24:H125,C$24:C125),"")</f>
        <v/>
      </c>
      <c r="Q126" s="56" t="str">
        <f t="shared" si="35"/>
        <v/>
      </c>
      <c r="R126" s="56">
        <f t="shared" si="32"/>
        <v>0</v>
      </c>
      <c r="S126" s="21" t="e">
        <f t="shared" ca="1" si="33"/>
        <v>#VALUE!</v>
      </c>
      <c r="T126" s="21" t="e">
        <f t="shared" ca="1" si="34"/>
        <v>#VALUE!</v>
      </c>
      <c r="U126" s="21" t="e">
        <f t="shared" ca="1" si="44"/>
        <v>#VALUE!</v>
      </c>
      <c r="V126" s="60" t="e">
        <f t="shared" ca="1" si="45"/>
        <v>#VALUE!</v>
      </c>
      <c r="W126" s="61" t="e">
        <f t="shared" ca="1" si="28"/>
        <v>#VALUE!</v>
      </c>
    </row>
    <row r="127" spans="1:23" x14ac:dyDescent="0.25">
      <c r="A127" s="58" t="str">
        <f t="shared" si="30"/>
        <v/>
      </c>
      <c r="B127" s="55" t="str">
        <f t="shared" si="41"/>
        <v/>
      </c>
      <c r="C127" s="55" t="str">
        <f t="shared" ca="1" si="31"/>
        <v xml:space="preserve"> </v>
      </c>
      <c r="D127" s="58" t="str">
        <f t="shared" si="39"/>
        <v/>
      </c>
      <c r="E127" s="56" t="str">
        <f t="shared" si="40"/>
        <v/>
      </c>
      <c r="F127" s="56" t="str">
        <f>IF(AND(A126="",A128=""),"",IF(A127="",ROUND(SUM($F$25:F126),2),IF(A127=$D$8,$E$24-ROUND(SUM($F$25:F126),2),ROUND($E$24/$D$8,2))))</f>
        <v/>
      </c>
      <c r="G127" s="56" t="str">
        <f>IF(A126=$D$8,ROUND(SUM($G$25:G126),2),IF(A127&gt;$D$8,"",IF(T127&lt;&gt;T126,ROUND(SUM(V127*$D$9*E126/T127,W127*$D$9*E126/T126),2),ROUND(E126*$D$9*D127/T126,2))))</f>
        <v/>
      </c>
      <c r="H127" s="56" t="str">
        <f>IF(A126=$D$8,SUM($H$25:H126),IF(A126&gt;$D$8,"",F127+G127))</f>
        <v/>
      </c>
      <c r="I127" s="56" t="str">
        <f t="shared" si="42"/>
        <v/>
      </c>
      <c r="J127" s="56" t="str">
        <f t="shared" si="47"/>
        <v/>
      </c>
      <c r="K127" s="56"/>
      <c r="L127" s="56" t="str">
        <f t="shared" si="43"/>
        <v/>
      </c>
      <c r="M127" s="56" t="str">
        <f t="shared" si="36"/>
        <v/>
      </c>
      <c r="N127" s="56" t="str">
        <f t="shared" si="37"/>
        <v/>
      </c>
      <c r="P127" s="59" t="str">
        <f>IF(A126=$D$8,XIRR(H$24:H126,C$24:C126),"")</f>
        <v/>
      </c>
      <c r="Q127" s="56" t="str">
        <f t="shared" si="35"/>
        <v/>
      </c>
      <c r="R127" s="56">
        <f t="shared" si="32"/>
        <v>0</v>
      </c>
      <c r="S127" s="21" t="e">
        <f t="shared" ca="1" si="33"/>
        <v>#VALUE!</v>
      </c>
      <c r="T127" s="21" t="e">
        <f t="shared" ca="1" si="34"/>
        <v>#VALUE!</v>
      </c>
      <c r="U127" s="21" t="e">
        <f t="shared" ca="1" si="44"/>
        <v>#VALUE!</v>
      </c>
      <c r="V127" s="60" t="e">
        <f t="shared" ca="1" si="45"/>
        <v>#VALUE!</v>
      </c>
      <c r="W127" s="61" t="e">
        <f t="shared" ca="1" si="28"/>
        <v>#VALUE!</v>
      </c>
    </row>
    <row r="128" spans="1:23" x14ac:dyDescent="0.25">
      <c r="A128" s="58" t="str">
        <f t="shared" si="30"/>
        <v/>
      </c>
      <c r="B128" s="55" t="str">
        <f t="shared" si="41"/>
        <v/>
      </c>
      <c r="C128" s="55" t="str">
        <f t="shared" ca="1" si="31"/>
        <v xml:space="preserve"> </v>
      </c>
      <c r="D128" s="58" t="str">
        <f t="shared" si="39"/>
        <v/>
      </c>
      <c r="E128" s="56" t="str">
        <f t="shared" si="40"/>
        <v/>
      </c>
      <c r="F128" s="56" t="str">
        <f>IF(AND(A127="",A129=""),"",IF(A128="",ROUND(SUM($F$25:F127),2),IF(A128=$D$8,$E$24-ROUND(SUM($F$25:F127),2),ROUND($E$24/$D$8,2))))</f>
        <v/>
      </c>
      <c r="G128" s="56" t="str">
        <f>IF(A127=$D$8,ROUND(SUM($G$25:G127),2),IF(A128&gt;$D$8,"",IF(T128&lt;&gt;T127,ROUND(SUM(V128*$D$9*E127/T128,W128*$D$9*E127/T127),2),ROUND(E127*$D$9*D128/T127,2))))</f>
        <v/>
      </c>
      <c r="H128" s="56" t="str">
        <f>IF(A127=$D$8,SUM($H$25:H127),IF(A127&gt;$D$8,"",F128+G128))</f>
        <v/>
      </c>
      <c r="I128" s="56" t="str">
        <f t="shared" si="42"/>
        <v/>
      </c>
      <c r="J128" s="56" t="str">
        <f t="shared" si="47"/>
        <v/>
      </c>
      <c r="K128" s="56"/>
      <c r="L128" s="56" t="str">
        <f t="shared" si="43"/>
        <v/>
      </c>
      <c r="M128" s="56" t="str">
        <f t="shared" si="36"/>
        <v/>
      </c>
      <c r="N128" s="56" t="str">
        <f t="shared" si="37"/>
        <v/>
      </c>
      <c r="P128" s="59" t="str">
        <f>IF(A127=$D$8,XIRR(H$24:H127,C$24:C127),"")</f>
        <v/>
      </c>
      <c r="Q128" s="56" t="str">
        <f t="shared" si="35"/>
        <v/>
      </c>
      <c r="R128" s="56">
        <f t="shared" si="32"/>
        <v>0</v>
      </c>
      <c r="S128" s="21" t="e">
        <f t="shared" ca="1" si="33"/>
        <v>#VALUE!</v>
      </c>
      <c r="T128" s="21" t="e">
        <f t="shared" ca="1" si="34"/>
        <v>#VALUE!</v>
      </c>
      <c r="U128" s="21" t="e">
        <f t="shared" ca="1" si="44"/>
        <v>#VALUE!</v>
      </c>
      <c r="V128" s="60" t="e">
        <f t="shared" ca="1" si="45"/>
        <v>#VALUE!</v>
      </c>
      <c r="W128" s="61" t="e">
        <f t="shared" ca="1" si="28"/>
        <v>#VALUE!</v>
      </c>
    </row>
    <row r="129" spans="1:23" x14ac:dyDescent="0.25">
      <c r="A129" s="58" t="str">
        <f t="shared" si="30"/>
        <v/>
      </c>
      <c r="B129" s="55" t="str">
        <f t="shared" si="41"/>
        <v/>
      </c>
      <c r="C129" s="55" t="str">
        <f t="shared" ca="1" si="31"/>
        <v xml:space="preserve"> </v>
      </c>
      <c r="D129" s="58" t="str">
        <f t="shared" si="39"/>
        <v/>
      </c>
      <c r="E129" s="56" t="str">
        <f t="shared" si="40"/>
        <v/>
      </c>
      <c r="F129" s="56" t="str">
        <f>IF(AND(A128="",A130=""),"",IF(A129="",ROUND(SUM($F$25:F128),2),IF(A129=$D$8,$E$24-ROUND(SUM($F$25:F128),2),ROUND($E$24/$D$8,2))))</f>
        <v/>
      </c>
      <c r="G129" s="56" t="str">
        <f>IF(A128=$D$8,ROUND(SUM($G$25:G128),2),IF(A129&gt;$D$8,"",IF(T129&lt;&gt;T128,ROUND(SUM(V129*$D$9*E128/T129,W129*$D$9*E128/T128),2),ROUND(E128*$D$9*D129/T128,2))))</f>
        <v/>
      </c>
      <c r="H129" s="56" t="str">
        <f>IF(A128=$D$8,SUM($H$25:H128),IF(A128&gt;$D$8,"",F129+G129))</f>
        <v/>
      </c>
      <c r="I129" s="56" t="str">
        <f t="shared" si="42"/>
        <v/>
      </c>
      <c r="J129" s="56" t="str">
        <f t="shared" si="47"/>
        <v/>
      </c>
      <c r="K129" s="56"/>
      <c r="L129" s="56" t="str">
        <f t="shared" si="43"/>
        <v/>
      </c>
      <c r="M129" s="56" t="str">
        <f t="shared" si="36"/>
        <v/>
      </c>
      <c r="N129" s="56" t="str">
        <f t="shared" si="37"/>
        <v/>
      </c>
      <c r="P129" s="59" t="str">
        <f>IF(A128=$D$8,XIRR(H$24:H128,C$24:C128),"")</f>
        <v/>
      </c>
      <c r="Q129" s="56" t="str">
        <f t="shared" si="35"/>
        <v/>
      </c>
      <c r="R129" s="56">
        <f t="shared" si="32"/>
        <v>0</v>
      </c>
      <c r="S129" s="21" t="e">
        <f t="shared" ca="1" si="33"/>
        <v>#VALUE!</v>
      </c>
      <c r="T129" s="21" t="e">
        <f t="shared" ca="1" si="34"/>
        <v>#VALUE!</v>
      </c>
      <c r="U129" s="21" t="e">
        <f t="shared" ca="1" si="44"/>
        <v>#VALUE!</v>
      </c>
      <c r="V129" s="60" t="e">
        <f t="shared" ca="1" si="45"/>
        <v>#VALUE!</v>
      </c>
      <c r="W129" s="61" t="e">
        <f t="shared" ca="1" si="28"/>
        <v>#VALUE!</v>
      </c>
    </row>
    <row r="130" spans="1:23" x14ac:dyDescent="0.25">
      <c r="A130" s="58" t="str">
        <f t="shared" si="30"/>
        <v/>
      </c>
      <c r="B130" s="55" t="str">
        <f t="shared" si="41"/>
        <v/>
      </c>
      <c r="C130" s="55" t="str">
        <f t="shared" ca="1" si="31"/>
        <v xml:space="preserve"> </v>
      </c>
      <c r="D130" s="58" t="str">
        <f t="shared" si="39"/>
        <v/>
      </c>
      <c r="E130" s="56" t="str">
        <f t="shared" si="40"/>
        <v/>
      </c>
      <c r="F130" s="56" t="str">
        <f>IF(AND(A129="",A131=""),"",IF(A130="",ROUND(SUM($F$25:F129),2),IF(A130=$D$8,$E$24-ROUND(SUM($F$25:F129),2),ROUND($E$24/$D$8,2))))</f>
        <v/>
      </c>
      <c r="G130" s="56" t="str">
        <f>IF(A129=$D$8,ROUND(SUM($G$25:G129),2),IF(A130&gt;$D$8,"",IF(T130&lt;&gt;T129,ROUND(SUM(V130*$D$9*E129/T130,W130*$D$9*E129/T129),2),ROUND(E129*$D$9*D130/T129,2))))</f>
        <v/>
      </c>
      <c r="H130" s="56" t="str">
        <f>IF(A129=$D$8,SUM($H$25:H129),IF(A129&gt;$D$8,"",F130+G130))</f>
        <v/>
      </c>
      <c r="I130" s="56" t="str">
        <f t="shared" si="42"/>
        <v/>
      </c>
      <c r="J130" s="56" t="str">
        <f t="shared" si="47"/>
        <v/>
      </c>
      <c r="K130" s="56"/>
      <c r="L130" s="56" t="str">
        <f t="shared" si="43"/>
        <v/>
      </c>
      <c r="M130" s="56" t="str">
        <f t="shared" si="36"/>
        <v/>
      </c>
      <c r="N130" s="56" t="str">
        <f t="shared" si="37"/>
        <v/>
      </c>
      <c r="P130" s="59" t="str">
        <f>IF(A129=$D$8,XIRR(H$24:H129,C$24:C129),"")</f>
        <v/>
      </c>
      <c r="Q130" s="56" t="str">
        <f t="shared" si="35"/>
        <v/>
      </c>
      <c r="R130" s="56">
        <f t="shared" si="32"/>
        <v>0</v>
      </c>
      <c r="S130" s="21" t="e">
        <f t="shared" ca="1" si="33"/>
        <v>#VALUE!</v>
      </c>
      <c r="T130" s="21" t="e">
        <f t="shared" ca="1" si="34"/>
        <v>#VALUE!</v>
      </c>
      <c r="U130" s="21" t="e">
        <f t="shared" ca="1" si="44"/>
        <v>#VALUE!</v>
      </c>
      <c r="V130" s="60" t="e">
        <f t="shared" ca="1" si="45"/>
        <v>#VALUE!</v>
      </c>
      <c r="W130" s="61" t="e">
        <f t="shared" ca="1" si="28"/>
        <v>#VALUE!</v>
      </c>
    </row>
    <row r="131" spans="1:23" x14ac:dyDescent="0.25">
      <c r="A131" s="58" t="str">
        <f t="shared" si="30"/>
        <v/>
      </c>
      <c r="B131" s="55" t="str">
        <f t="shared" si="41"/>
        <v/>
      </c>
      <c r="C131" s="55" t="str">
        <f t="shared" ca="1" si="31"/>
        <v xml:space="preserve"> </v>
      </c>
      <c r="D131" s="58" t="str">
        <f t="shared" si="39"/>
        <v/>
      </c>
      <c r="E131" s="56" t="str">
        <f t="shared" si="40"/>
        <v/>
      </c>
      <c r="F131" s="56" t="str">
        <f>IF(AND(A130="",A132=""),"",IF(A131="",ROUND(SUM($F$25:F130),2),IF(A131=$D$8,$E$24-ROUND(SUM($F$25:F130),2),ROUND($E$24/$D$8,2))))</f>
        <v/>
      </c>
      <c r="G131" s="56" t="str">
        <f>IF(A130=$D$8,ROUND(SUM($G$25:G130),2),IF(A131&gt;$D$8,"",IF(T131&lt;&gt;T130,ROUND(SUM(V131*$D$9*E130/T131,W131*$D$9*E130/T130),2),ROUND(E130*$D$9*D131/T130,2))))</f>
        <v/>
      </c>
      <c r="H131" s="56" t="str">
        <f>IF(A130=$D$8,SUM($H$25:H130),IF(A130&gt;$D$8,"",F131+G131))</f>
        <v/>
      </c>
      <c r="I131" s="56" t="str">
        <f t="shared" si="42"/>
        <v/>
      </c>
      <c r="J131" s="56" t="str">
        <f t="shared" si="47"/>
        <v/>
      </c>
      <c r="K131" s="56"/>
      <c r="L131" s="56" t="str">
        <f t="shared" si="43"/>
        <v/>
      </c>
      <c r="M131" s="56" t="str">
        <f t="shared" si="36"/>
        <v/>
      </c>
      <c r="N131" s="56" t="str">
        <f t="shared" si="37"/>
        <v/>
      </c>
      <c r="P131" s="59" t="str">
        <f>IF(A130=$D$8,XIRR(H$24:H130,C$24:C130),"")</f>
        <v/>
      </c>
      <c r="Q131" s="56" t="str">
        <f t="shared" si="35"/>
        <v/>
      </c>
      <c r="R131" s="56">
        <f t="shared" si="32"/>
        <v>0</v>
      </c>
      <c r="S131" s="21" t="e">
        <f t="shared" ca="1" si="33"/>
        <v>#VALUE!</v>
      </c>
      <c r="T131" s="21" t="e">
        <f t="shared" ca="1" si="34"/>
        <v>#VALUE!</v>
      </c>
      <c r="U131" s="21" t="e">
        <f t="shared" ca="1" si="44"/>
        <v>#VALUE!</v>
      </c>
      <c r="V131" s="60" t="e">
        <f t="shared" ca="1" si="45"/>
        <v>#VALUE!</v>
      </c>
      <c r="W131" s="61" t="e">
        <f t="shared" ca="1" si="28"/>
        <v>#VALUE!</v>
      </c>
    </row>
    <row r="132" spans="1:23" x14ac:dyDescent="0.25">
      <c r="A132" s="58" t="str">
        <f t="shared" si="30"/>
        <v/>
      </c>
      <c r="B132" s="55" t="str">
        <f t="shared" si="41"/>
        <v/>
      </c>
      <c r="C132" s="55" t="str">
        <f t="shared" ca="1" si="31"/>
        <v xml:space="preserve"> </v>
      </c>
      <c r="D132" s="58" t="str">
        <f t="shared" si="39"/>
        <v/>
      </c>
      <c r="E132" s="56" t="str">
        <f t="shared" si="40"/>
        <v/>
      </c>
      <c r="F132" s="56" t="str">
        <f>IF(AND(A131="",A133=""),"",IF(A132="",ROUND(SUM($F$25:F131),2),IF(A132=$D$8,$E$24-ROUND(SUM($F$25:F131),2),ROUND($E$24/$D$8,2))))</f>
        <v/>
      </c>
      <c r="G132" s="56" t="str">
        <f>IF(A131=$D$8,ROUND(SUM($G$25:G131),2),IF(A132&gt;$D$8,"",IF(T132&lt;&gt;T131,ROUND(SUM(V132*$D$9*E131/T132,W132*$D$9*E131/T131),2),ROUND(E131*$D$9*D132/T131,2))))</f>
        <v/>
      </c>
      <c r="H132" s="56" t="str">
        <f>IF(A131=$D$8,SUM($H$25:H131),IF(A131&gt;$D$8,"",F132+G132))</f>
        <v/>
      </c>
      <c r="I132" s="56" t="str">
        <f t="shared" si="42"/>
        <v/>
      </c>
      <c r="J132" s="56" t="str">
        <f t="shared" si="47"/>
        <v/>
      </c>
      <c r="K132" s="56"/>
      <c r="L132" s="56" t="str">
        <f t="shared" si="43"/>
        <v/>
      </c>
      <c r="M132" s="56" t="str">
        <f t="shared" si="36"/>
        <v/>
      </c>
      <c r="N132" s="56" t="str">
        <f t="shared" si="37"/>
        <v/>
      </c>
      <c r="P132" s="59" t="str">
        <f>IF(A131=$D$8,XIRR(H$24:H131,C$24:C131),"")</f>
        <v/>
      </c>
      <c r="Q132" s="56" t="str">
        <f t="shared" si="35"/>
        <v/>
      </c>
      <c r="R132" s="56">
        <f t="shared" si="32"/>
        <v>0</v>
      </c>
      <c r="S132" s="21" t="e">
        <f t="shared" ca="1" si="33"/>
        <v>#VALUE!</v>
      </c>
      <c r="T132" s="21" t="e">
        <f t="shared" ca="1" si="34"/>
        <v>#VALUE!</v>
      </c>
      <c r="U132" s="21" t="e">
        <f t="shared" ca="1" si="44"/>
        <v>#VALUE!</v>
      </c>
      <c r="V132" s="60" t="e">
        <f t="shared" ca="1" si="45"/>
        <v>#VALUE!</v>
      </c>
      <c r="W132" s="61" t="e">
        <f t="shared" ca="1" si="28"/>
        <v>#VALUE!</v>
      </c>
    </row>
    <row r="133" spans="1:23" x14ac:dyDescent="0.25">
      <c r="A133" s="58" t="str">
        <f t="shared" si="30"/>
        <v/>
      </c>
      <c r="B133" s="55" t="str">
        <f t="shared" si="41"/>
        <v/>
      </c>
      <c r="C133" s="55" t="str">
        <f t="shared" ca="1" si="31"/>
        <v xml:space="preserve"> </v>
      </c>
      <c r="D133" s="58" t="str">
        <f t="shared" si="39"/>
        <v/>
      </c>
      <c r="E133" s="56" t="str">
        <f t="shared" si="40"/>
        <v/>
      </c>
      <c r="F133" s="56" t="str">
        <f>IF(AND(A132="",A134=""),"",IF(A133="",ROUND(SUM($F$25:F132),2),IF(A133=$D$8,$E$24-ROUND(SUM($F$25:F132),2),ROUND($E$24/$D$8,2))))</f>
        <v/>
      </c>
      <c r="G133" s="56" t="str">
        <f>IF(A132=$D$8,ROUND(SUM($G$25:G132),2),IF(A133&gt;$D$8,"",IF(T133&lt;&gt;T132,ROUND(SUM(V133*$D$9*E132/T133,W133*$D$9*E132/T132),2),ROUND(E132*$D$9*D133/T132,2))))</f>
        <v/>
      </c>
      <c r="H133" s="56" t="str">
        <f>IF(A132=$D$8,SUM($H$25:H132),IF(A132&gt;$D$8,"",F133+G133))</f>
        <v/>
      </c>
      <c r="I133" s="56" t="str">
        <f t="shared" si="42"/>
        <v/>
      </c>
      <c r="J133" s="56" t="str">
        <f>IF($D$8&gt;A132,$N$9,IF($D$8=A132,SUM($J$24:J132)," "))</f>
        <v xml:space="preserve"> </v>
      </c>
      <c r="K133" s="56" t="str">
        <f>IF($D$8&gt;A132,($O$8+$N$10*E132),IF(A132=$D$8,$K$37+$K$24+$K$49+$K$61+$K$73+$K$85+$K$97+$K$109+$K$121,""))</f>
        <v/>
      </c>
      <c r="L133" s="56" t="str">
        <f t="shared" si="43"/>
        <v/>
      </c>
      <c r="M133" s="56" t="str">
        <f t="shared" si="36"/>
        <v/>
      </c>
      <c r="N133" s="56" t="str">
        <f t="shared" si="37"/>
        <v/>
      </c>
      <c r="P133" s="59" t="str">
        <f>IF(A132=$D$8,XIRR(H$24:H132,C$24:C132),"")</f>
        <v/>
      </c>
      <c r="Q133" s="56" t="str">
        <f t="shared" si="35"/>
        <v/>
      </c>
      <c r="R133" s="56">
        <f t="shared" si="32"/>
        <v>0</v>
      </c>
      <c r="S133" s="21" t="e">
        <f t="shared" ca="1" si="33"/>
        <v>#VALUE!</v>
      </c>
      <c r="T133" s="21" t="e">
        <f t="shared" ca="1" si="34"/>
        <v>#VALUE!</v>
      </c>
      <c r="U133" s="21" t="e">
        <f t="shared" ca="1" si="44"/>
        <v>#VALUE!</v>
      </c>
      <c r="V133" s="60" t="e">
        <f t="shared" ca="1" si="45"/>
        <v>#VALUE!</v>
      </c>
      <c r="W133" s="61" t="e">
        <f t="shared" ca="1" si="28"/>
        <v>#VALUE!</v>
      </c>
    </row>
    <row r="134" spans="1:23" x14ac:dyDescent="0.25">
      <c r="A134" s="58" t="str">
        <f t="shared" si="30"/>
        <v/>
      </c>
      <c r="B134" s="55" t="str">
        <f t="shared" si="41"/>
        <v/>
      </c>
      <c r="C134" s="55" t="str">
        <f t="shared" ca="1" si="31"/>
        <v xml:space="preserve"> </v>
      </c>
      <c r="D134" s="58" t="str">
        <f t="shared" si="39"/>
        <v/>
      </c>
      <c r="E134" s="56" t="str">
        <f t="shared" si="40"/>
        <v/>
      </c>
      <c r="F134" s="56" t="str">
        <f>IF(AND(A133="",A135=""),"",IF(A134="",ROUND(SUM($F$25:F133),2),IF(A134=$D$8,$E$24-ROUND(SUM($F$25:F133),2),ROUND($E$24/$D$8,2))))</f>
        <v/>
      </c>
      <c r="G134" s="56" t="str">
        <f>IF(A133=$D$8,ROUND(SUM($G$25:G133),2),IF(A134&gt;$D$8,"",IF(T134&lt;&gt;T133,ROUND(SUM(V134*$D$9*E133/T134,W134*$D$9*E133/T133),2),ROUND(E133*$D$9*D134/T133,2))))</f>
        <v/>
      </c>
      <c r="H134" s="56" t="str">
        <f>IF(A133=$D$8,SUM($H$25:H133),IF(A133&gt;$D$8,"",F134+G134))</f>
        <v/>
      </c>
      <c r="I134" s="56" t="str">
        <f t="shared" si="42"/>
        <v/>
      </c>
      <c r="J134" s="56" t="str">
        <f t="shared" ref="J134:J144" si="48">IF(A133=$D$8,$J$24,"")</f>
        <v/>
      </c>
      <c r="K134" s="56"/>
      <c r="L134" s="56" t="str">
        <f t="shared" si="43"/>
        <v/>
      </c>
      <c r="M134" s="56" t="str">
        <f t="shared" si="36"/>
        <v/>
      </c>
      <c r="N134" s="56" t="str">
        <f t="shared" si="37"/>
        <v/>
      </c>
      <c r="P134" s="59" t="str">
        <f>IF(A133=$D$8,XIRR(H$24:H133,C$24:C133),"")</f>
        <v/>
      </c>
      <c r="Q134" s="56" t="str">
        <f t="shared" si="35"/>
        <v/>
      </c>
      <c r="R134" s="56">
        <f t="shared" si="32"/>
        <v>0</v>
      </c>
      <c r="S134" s="21" t="e">
        <f t="shared" ca="1" si="33"/>
        <v>#VALUE!</v>
      </c>
      <c r="T134" s="21" t="e">
        <f t="shared" ca="1" si="34"/>
        <v>#VALUE!</v>
      </c>
      <c r="U134" s="21" t="e">
        <f t="shared" ca="1" si="44"/>
        <v>#VALUE!</v>
      </c>
      <c r="V134" s="60" t="e">
        <f t="shared" ca="1" si="45"/>
        <v>#VALUE!</v>
      </c>
      <c r="W134" s="61" t="e">
        <f t="shared" ca="1" si="28"/>
        <v>#VALUE!</v>
      </c>
    </row>
    <row r="135" spans="1:23" x14ac:dyDescent="0.25">
      <c r="A135" s="58" t="str">
        <f t="shared" si="30"/>
        <v/>
      </c>
      <c r="B135" s="55" t="str">
        <f t="shared" si="41"/>
        <v/>
      </c>
      <c r="C135" s="55" t="str">
        <f t="shared" ca="1" si="31"/>
        <v xml:space="preserve"> </v>
      </c>
      <c r="D135" s="58" t="str">
        <f t="shared" si="39"/>
        <v/>
      </c>
      <c r="E135" s="56" t="str">
        <f t="shared" si="40"/>
        <v/>
      </c>
      <c r="F135" s="56" t="str">
        <f>IF(AND(A134="",A136=""),"",IF(A135="",ROUND(SUM($F$25:F134),2),IF(A135=$D$8,$E$24-ROUND(SUM($F$25:F134),2),ROUND($E$24/$D$8,2))))</f>
        <v/>
      </c>
      <c r="G135" s="56" t="str">
        <f>IF(A134=$D$8,ROUND(SUM($G$25:G134),2),IF(A135&gt;$D$8,"",IF(T135&lt;&gt;T134,ROUND(SUM(V135*$D$9*E134/T135,W135*$D$9*E134/T134),2),ROUND(E134*$D$9*D135/T134,2))))</f>
        <v/>
      </c>
      <c r="H135" s="56" t="str">
        <f>IF(A134=$D$8,SUM($H$25:H134),IF(A134&gt;$D$8,"",F135+G135))</f>
        <v/>
      </c>
      <c r="I135" s="56" t="str">
        <f t="shared" si="42"/>
        <v/>
      </c>
      <c r="J135" s="56" t="str">
        <f t="shared" si="48"/>
        <v/>
      </c>
      <c r="K135" s="56"/>
      <c r="L135" s="56" t="str">
        <f t="shared" si="43"/>
        <v/>
      </c>
      <c r="M135" s="56" t="str">
        <f t="shared" si="36"/>
        <v/>
      </c>
      <c r="N135" s="56" t="str">
        <f t="shared" si="37"/>
        <v/>
      </c>
      <c r="P135" s="59" t="str">
        <f>IF(A134=$D$8,XIRR(H$24:H134,C$24:C134),"")</f>
        <v/>
      </c>
      <c r="Q135" s="56" t="str">
        <f t="shared" si="35"/>
        <v/>
      </c>
      <c r="R135" s="56">
        <f t="shared" si="32"/>
        <v>0</v>
      </c>
      <c r="S135" s="21" t="e">
        <f t="shared" ca="1" si="33"/>
        <v>#VALUE!</v>
      </c>
      <c r="T135" s="21" t="e">
        <f t="shared" ca="1" si="34"/>
        <v>#VALUE!</v>
      </c>
      <c r="U135" s="21" t="e">
        <f t="shared" ca="1" si="44"/>
        <v>#VALUE!</v>
      </c>
      <c r="V135" s="60" t="e">
        <f t="shared" ca="1" si="45"/>
        <v>#VALUE!</v>
      </c>
      <c r="W135" s="61" t="e">
        <f t="shared" ca="1" si="28"/>
        <v>#VALUE!</v>
      </c>
    </row>
    <row r="136" spans="1:23" x14ac:dyDescent="0.25">
      <c r="A136" s="58" t="str">
        <f t="shared" si="30"/>
        <v/>
      </c>
      <c r="B136" s="55" t="str">
        <f t="shared" si="41"/>
        <v/>
      </c>
      <c r="C136" s="55" t="str">
        <f t="shared" ca="1" si="31"/>
        <v xml:space="preserve"> </v>
      </c>
      <c r="D136" s="58" t="str">
        <f t="shared" si="39"/>
        <v/>
      </c>
      <c r="E136" s="56" t="str">
        <f t="shared" si="40"/>
        <v/>
      </c>
      <c r="F136" s="56" t="str">
        <f>IF(AND(A135="",A137=""),"",IF(A136="",ROUND(SUM($F$25:F135),2),IF(A136=$D$8,$E$24-ROUND(SUM($F$25:F135),2),ROUND($E$24/$D$8,2))))</f>
        <v/>
      </c>
      <c r="G136" s="56" t="str">
        <f>IF(A135=$D$8,ROUND(SUM($G$25:G135),2),IF(A136&gt;$D$8,"",IF(T136&lt;&gt;T135,ROUND(SUM(V136*$D$9*E135/T136,W136*$D$9*E135/T135),2),ROUND(E135*$D$9*D136/T135,2))))</f>
        <v/>
      </c>
      <c r="H136" s="56" t="str">
        <f>IF(A135=$D$8,SUM($H$25:H135),IF(A135&gt;$D$8,"",F136+G136))</f>
        <v/>
      </c>
      <c r="I136" s="56" t="str">
        <f t="shared" si="42"/>
        <v/>
      </c>
      <c r="J136" s="56" t="str">
        <f t="shared" si="48"/>
        <v/>
      </c>
      <c r="K136" s="56"/>
      <c r="L136" s="56" t="str">
        <f t="shared" si="43"/>
        <v/>
      </c>
      <c r="M136" s="56" t="str">
        <f t="shared" si="36"/>
        <v/>
      </c>
      <c r="N136" s="56" t="str">
        <f t="shared" si="37"/>
        <v/>
      </c>
      <c r="P136" s="59" t="str">
        <f>IF(A135=$D$8,XIRR(H$24:H135,C$24:C135),"")</f>
        <v/>
      </c>
      <c r="Q136" s="56" t="str">
        <f t="shared" si="35"/>
        <v/>
      </c>
      <c r="R136" s="56">
        <f t="shared" si="32"/>
        <v>0</v>
      </c>
      <c r="S136" s="21" t="e">
        <f t="shared" ca="1" si="33"/>
        <v>#VALUE!</v>
      </c>
      <c r="T136" s="21" t="e">
        <f t="shared" ca="1" si="34"/>
        <v>#VALUE!</v>
      </c>
      <c r="U136" s="21" t="e">
        <f t="shared" ca="1" si="44"/>
        <v>#VALUE!</v>
      </c>
      <c r="V136" s="60" t="e">
        <f t="shared" ca="1" si="45"/>
        <v>#VALUE!</v>
      </c>
      <c r="W136" s="61" t="e">
        <f t="shared" ca="1" si="28"/>
        <v>#VALUE!</v>
      </c>
    </row>
    <row r="137" spans="1:23" x14ac:dyDescent="0.25">
      <c r="A137" s="58" t="str">
        <f t="shared" si="30"/>
        <v/>
      </c>
      <c r="B137" s="55" t="str">
        <f t="shared" si="41"/>
        <v/>
      </c>
      <c r="C137" s="55" t="str">
        <f t="shared" ca="1" si="31"/>
        <v xml:space="preserve"> </v>
      </c>
      <c r="D137" s="58" t="str">
        <f t="shared" si="39"/>
        <v/>
      </c>
      <c r="E137" s="56" t="str">
        <f t="shared" si="40"/>
        <v/>
      </c>
      <c r="F137" s="56" t="str">
        <f>IF(AND(A136="",A138=""),"",IF(A137="",ROUND(SUM($F$25:F136),2),IF(A137=$D$8,$E$24-ROUND(SUM($F$25:F136),2),ROUND($E$24/$D$8,2))))</f>
        <v/>
      </c>
      <c r="G137" s="56" t="str">
        <f>IF(A136=$D$8,ROUND(SUM($G$25:G136),2),IF(A137&gt;$D$8,"",IF(T137&lt;&gt;T136,ROUND(SUM(V137*$D$9*E136/T137,W137*$D$9*E136/T136),2),ROUND(E136*$D$9*D137/T136,2))))</f>
        <v/>
      </c>
      <c r="H137" s="56" t="str">
        <f>IF(A136=$D$8,SUM($H$25:H136),IF(A136&gt;$D$8,"",F137+G137))</f>
        <v/>
      </c>
      <c r="I137" s="56" t="str">
        <f t="shared" si="42"/>
        <v/>
      </c>
      <c r="J137" s="56" t="str">
        <f t="shared" si="48"/>
        <v/>
      </c>
      <c r="K137" s="56"/>
      <c r="L137" s="56" t="str">
        <f t="shared" si="43"/>
        <v/>
      </c>
      <c r="M137" s="56" t="str">
        <f t="shared" si="36"/>
        <v/>
      </c>
      <c r="N137" s="56" t="str">
        <f t="shared" si="37"/>
        <v/>
      </c>
      <c r="P137" s="59" t="str">
        <f>IF(A136=$D$8,XIRR(H$24:H136,C$24:C136),"")</f>
        <v/>
      </c>
      <c r="Q137" s="56" t="str">
        <f t="shared" si="35"/>
        <v/>
      </c>
      <c r="R137" s="56">
        <f t="shared" si="32"/>
        <v>0</v>
      </c>
      <c r="S137" s="21" t="e">
        <f t="shared" ca="1" si="33"/>
        <v>#VALUE!</v>
      </c>
      <c r="T137" s="21" t="e">
        <f t="shared" ca="1" si="34"/>
        <v>#VALUE!</v>
      </c>
      <c r="U137" s="21" t="e">
        <f t="shared" ca="1" si="44"/>
        <v>#VALUE!</v>
      </c>
      <c r="V137" s="60" t="e">
        <f t="shared" ca="1" si="45"/>
        <v>#VALUE!</v>
      </c>
      <c r="W137" s="61" t="e">
        <f t="shared" ca="1" si="28"/>
        <v>#VALUE!</v>
      </c>
    </row>
    <row r="138" spans="1:23" x14ac:dyDescent="0.25">
      <c r="A138" s="58" t="str">
        <f t="shared" si="30"/>
        <v/>
      </c>
      <c r="B138" s="55" t="str">
        <f t="shared" si="41"/>
        <v/>
      </c>
      <c r="C138" s="55" t="str">
        <f t="shared" ca="1" si="31"/>
        <v xml:space="preserve"> </v>
      </c>
      <c r="D138" s="58" t="str">
        <f t="shared" si="39"/>
        <v/>
      </c>
      <c r="E138" s="56" t="str">
        <f t="shared" si="40"/>
        <v/>
      </c>
      <c r="F138" s="56" t="str">
        <f>IF(AND(A137="",A139=""),"",IF(A138="",ROUND(SUM($F$25:F137),2),IF(A138=$D$8,$E$24-ROUND(SUM($F$25:F137),2),ROUND($E$24/$D$8,2))))</f>
        <v/>
      </c>
      <c r="G138" s="56" t="str">
        <f>IF(A137=$D$8,ROUND(SUM($G$25:G137),2),IF(A138&gt;$D$8,"",IF(T138&lt;&gt;T137,ROUND(SUM(V138*$D$9*E137/T138,W138*$D$9*E137/T137),2),ROUND(E137*$D$9*D138/T137,2))))</f>
        <v/>
      </c>
      <c r="H138" s="56" t="str">
        <f>IF(A137=$D$8,SUM($H$25:H137),IF(A137&gt;$D$8,"",F138+G138))</f>
        <v/>
      </c>
      <c r="I138" s="56" t="str">
        <f t="shared" si="42"/>
        <v/>
      </c>
      <c r="J138" s="56" t="str">
        <f t="shared" si="48"/>
        <v/>
      </c>
      <c r="K138" s="56"/>
      <c r="L138" s="56" t="str">
        <f t="shared" si="43"/>
        <v/>
      </c>
      <c r="M138" s="56" t="str">
        <f t="shared" si="36"/>
        <v/>
      </c>
      <c r="N138" s="56" t="str">
        <f t="shared" si="37"/>
        <v/>
      </c>
      <c r="P138" s="59" t="str">
        <f>IF(A137=$D$8,XIRR(H$24:H137,C$24:C137),"")</f>
        <v/>
      </c>
      <c r="Q138" s="56" t="str">
        <f t="shared" si="35"/>
        <v/>
      </c>
      <c r="R138" s="56">
        <f t="shared" si="32"/>
        <v>0</v>
      </c>
      <c r="S138" s="21" t="e">
        <f t="shared" ca="1" si="33"/>
        <v>#VALUE!</v>
      </c>
      <c r="T138" s="21" t="e">
        <f t="shared" ca="1" si="34"/>
        <v>#VALUE!</v>
      </c>
      <c r="U138" s="21" t="e">
        <f t="shared" ca="1" si="44"/>
        <v>#VALUE!</v>
      </c>
      <c r="V138" s="60" t="e">
        <f t="shared" ca="1" si="45"/>
        <v>#VALUE!</v>
      </c>
      <c r="W138" s="61" t="e">
        <f t="shared" ca="1" si="28"/>
        <v>#VALUE!</v>
      </c>
    </row>
    <row r="139" spans="1:23" x14ac:dyDescent="0.25">
      <c r="A139" s="58" t="str">
        <f t="shared" si="30"/>
        <v/>
      </c>
      <c r="B139" s="55" t="str">
        <f t="shared" si="41"/>
        <v/>
      </c>
      <c r="C139" s="55" t="str">
        <f t="shared" ca="1" si="31"/>
        <v xml:space="preserve"> </v>
      </c>
      <c r="D139" s="58" t="str">
        <f t="shared" si="39"/>
        <v/>
      </c>
      <c r="E139" s="56" t="str">
        <f t="shared" si="40"/>
        <v/>
      </c>
      <c r="F139" s="56" t="str">
        <f>IF(AND(A138="",A140=""),"",IF(A139="",ROUND(SUM($F$25:F138),2),IF(A139=$D$8,$E$24-ROUND(SUM($F$25:F138),2),ROUND($E$24/$D$8,2))))</f>
        <v/>
      </c>
      <c r="G139" s="56" t="str">
        <f>IF(A138=$D$8,ROUND(SUM($G$25:G138),2),IF(A139&gt;$D$8,"",IF(T139&lt;&gt;T138,ROUND(SUM(V139*$D$9*E138/T139,W139*$D$9*E138/T138),2),ROUND(E138*$D$9*D139/T138,2))))</f>
        <v/>
      </c>
      <c r="H139" s="56" t="str">
        <f>IF(A138=$D$8,SUM($H$25:H138),IF(A138&gt;$D$8,"",F139+G139))</f>
        <v/>
      </c>
      <c r="I139" s="56" t="str">
        <f t="shared" si="42"/>
        <v/>
      </c>
      <c r="J139" s="56" t="str">
        <f t="shared" si="48"/>
        <v/>
      </c>
      <c r="K139" s="56"/>
      <c r="L139" s="56" t="str">
        <f t="shared" si="43"/>
        <v/>
      </c>
      <c r="M139" s="56" t="str">
        <f t="shared" si="36"/>
        <v/>
      </c>
      <c r="N139" s="56" t="str">
        <f t="shared" si="37"/>
        <v/>
      </c>
      <c r="P139" s="59" t="str">
        <f>IF(A138=$D$8,XIRR(H$24:H138,C$24:C138),"")</f>
        <v/>
      </c>
      <c r="Q139" s="56" t="str">
        <f t="shared" si="35"/>
        <v/>
      </c>
      <c r="R139" s="56">
        <f t="shared" si="32"/>
        <v>0</v>
      </c>
      <c r="S139" s="21" t="e">
        <f t="shared" ca="1" si="33"/>
        <v>#VALUE!</v>
      </c>
      <c r="T139" s="21" t="e">
        <f t="shared" ca="1" si="34"/>
        <v>#VALUE!</v>
      </c>
      <c r="U139" s="21" t="e">
        <f t="shared" ca="1" si="44"/>
        <v>#VALUE!</v>
      </c>
      <c r="V139" s="60" t="e">
        <f t="shared" ca="1" si="45"/>
        <v>#VALUE!</v>
      </c>
      <c r="W139" s="61" t="e">
        <f t="shared" ca="1" si="28"/>
        <v>#VALUE!</v>
      </c>
    </row>
    <row r="140" spans="1:23" x14ac:dyDescent="0.25">
      <c r="A140" s="58" t="str">
        <f t="shared" si="30"/>
        <v/>
      </c>
      <c r="B140" s="55" t="str">
        <f t="shared" si="41"/>
        <v/>
      </c>
      <c r="C140" s="55" t="str">
        <f t="shared" ca="1" si="31"/>
        <v xml:space="preserve"> </v>
      </c>
      <c r="D140" s="58" t="str">
        <f t="shared" si="39"/>
        <v/>
      </c>
      <c r="E140" s="56" t="str">
        <f t="shared" si="40"/>
        <v/>
      </c>
      <c r="F140" s="56" t="str">
        <f>IF(AND(A139="",A141=""),"",IF(A140="",ROUND(SUM($F$25:F139),2),IF(A140=$D$8,$E$24-ROUND(SUM($F$25:F139),2),ROUND($E$24/$D$8,2))))</f>
        <v/>
      </c>
      <c r="G140" s="56" t="str">
        <f>IF(A139=$D$8,ROUND(SUM($G$25:G139),2),IF(A140&gt;$D$8,"",IF(T140&lt;&gt;T139,ROUND(SUM(V140*$D$9*E139/T140,W140*$D$9*E139/T139),2),ROUND(E139*$D$9*D140/T139,2))))</f>
        <v/>
      </c>
      <c r="H140" s="56" t="str">
        <f>IF(A139=$D$8,SUM($H$25:H139),IF(A139&gt;$D$8,"",F140+G140))</f>
        <v/>
      </c>
      <c r="I140" s="56" t="str">
        <f t="shared" si="42"/>
        <v/>
      </c>
      <c r="J140" s="56" t="str">
        <f t="shared" si="48"/>
        <v/>
      </c>
      <c r="K140" s="56"/>
      <c r="L140" s="56" t="str">
        <f t="shared" si="43"/>
        <v/>
      </c>
      <c r="M140" s="56" t="str">
        <f t="shared" si="36"/>
        <v/>
      </c>
      <c r="N140" s="56" t="str">
        <f t="shared" si="37"/>
        <v/>
      </c>
      <c r="P140" s="59" t="str">
        <f>IF(A139=$D$8,XIRR(H$24:H139,C$24:C139),"")</f>
        <v/>
      </c>
      <c r="Q140" s="56" t="str">
        <f t="shared" si="35"/>
        <v/>
      </c>
      <c r="R140" s="56">
        <f t="shared" si="32"/>
        <v>0</v>
      </c>
      <c r="S140" s="21" t="e">
        <f t="shared" ca="1" si="33"/>
        <v>#VALUE!</v>
      </c>
      <c r="T140" s="21" t="e">
        <f t="shared" ca="1" si="34"/>
        <v>#VALUE!</v>
      </c>
      <c r="U140" s="21" t="e">
        <f t="shared" ca="1" si="44"/>
        <v>#VALUE!</v>
      </c>
      <c r="V140" s="60" t="e">
        <f t="shared" ca="1" si="45"/>
        <v>#VALUE!</v>
      </c>
      <c r="W140" s="61" t="e">
        <f t="shared" ca="1" si="28"/>
        <v>#VALUE!</v>
      </c>
    </row>
    <row r="141" spans="1:23" x14ac:dyDescent="0.25">
      <c r="A141" s="58" t="str">
        <f t="shared" si="30"/>
        <v/>
      </c>
      <c r="B141" s="55" t="str">
        <f t="shared" si="41"/>
        <v/>
      </c>
      <c r="C141" s="55" t="str">
        <f t="shared" ca="1" si="31"/>
        <v xml:space="preserve"> </v>
      </c>
      <c r="D141" s="58" t="str">
        <f t="shared" si="39"/>
        <v/>
      </c>
      <c r="E141" s="56" t="str">
        <f t="shared" si="40"/>
        <v/>
      </c>
      <c r="F141" s="56" t="str">
        <f>IF(AND(A140="",A142=""),"",IF(A141="",ROUND(SUM($F$25:F140),2),IF(A141=$D$8,$E$24-ROUND(SUM($F$25:F140),2),ROUND($E$24/$D$8,2))))</f>
        <v/>
      </c>
      <c r="G141" s="56" t="str">
        <f>IF(A140=$D$8,ROUND(SUM($G$25:G140),2),IF(A141&gt;$D$8,"",IF(T141&lt;&gt;T140,ROUND(SUM(V141*$D$9*E140/T141,W141*$D$9*E140/T140),2),ROUND(E140*$D$9*D141/T140,2))))</f>
        <v/>
      </c>
      <c r="H141" s="56" t="str">
        <f>IF(A140=$D$8,SUM($H$25:H140),IF(A140&gt;$D$8,"",F141+G141))</f>
        <v/>
      </c>
      <c r="I141" s="56" t="str">
        <f t="shared" si="42"/>
        <v/>
      </c>
      <c r="J141" s="56" t="str">
        <f t="shared" si="48"/>
        <v/>
      </c>
      <c r="K141" s="56"/>
      <c r="L141" s="56" t="str">
        <f t="shared" si="43"/>
        <v/>
      </c>
      <c r="M141" s="56" t="str">
        <f t="shared" si="36"/>
        <v/>
      </c>
      <c r="N141" s="56" t="str">
        <f t="shared" si="37"/>
        <v/>
      </c>
      <c r="P141" s="59" t="str">
        <f>IF(A140=$D$8,XIRR(H$24:H140,C$24:C140),"")</f>
        <v/>
      </c>
      <c r="Q141" s="56" t="str">
        <f t="shared" si="35"/>
        <v/>
      </c>
      <c r="R141" s="56">
        <f t="shared" si="32"/>
        <v>0</v>
      </c>
      <c r="S141" s="21" t="e">
        <f t="shared" ca="1" si="33"/>
        <v>#VALUE!</v>
      </c>
      <c r="T141" s="21" t="e">
        <f t="shared" ca="1" si="34"/>
        <v>#VALUE!</v>
      </c>
      <c r="U141" s="21" t="e">
        <f t="shared" ca="1" si="44"/>
        <v>#VALUE!</v>
      </c>
      <c r="V141" s="60" t="e">
        <f t="shared" ca="1" si="45"/>
        <v>#VALUE!</v>
      </c>
      <c r="W141" s="61" t="e">
        <f t="shared" ca="1" si="28"/>
        <v>#VALUE!</v>
      </c>
    </row>
    <row r="142" spans="1:23" x14ac:dyDescent="0.25">
      <c r="A142" s="58" t="str">
        <f t="shared" si="30"/>
        <v/>
      </c>
      <c r="B142" s="55" t="str">
        <f t="shared" si="41"/>
        <v/>
      </c>
      <c r="C142" s="55" t="str">
        <f t="shared" ca="1" si="31"/>
        <v xml:space="preserve"> </v>
      </c>
      <c r="D142" s="58" t="str">
        <f t="shared" si="39"/>
        <v/>
      </c>
      <c r="E142" s="56" t="str">
        <f t="shared" si="40"/>
        <v/>
      </c>
      <c r="F142" s="56" t="str">
        <f>IF(AND(A141="",A143=""),"",IF(A142="",ROUND(SUM($F$25:F141),2),IF(A142=$D$8,$E$24-ROUND(SUM($F$25:F141),2),ROUND($E$24/$D$8,2))))</f>
        <v/>
      </c>
      <c r="G142" s="56" t="str">
        <f>IF(A141=$D$8,ROUND(SUM($G$25:G141),2),IF(A142&gt;$D$8,"",IF(T142&lt;&gt;T141,ROUND(SUM(V142*$D$9*E141/T142,W142*$D$9*E141/T141),2),ROUND(E141*$D$9*D142/T141,2))))</f>
        <v/>
      </c>
      <c r="H142" s="56" t="str">
        <f>IF(A141=$D$8,SUM($H$25:H141),IF(A141&gt;$D$8,"",F142+G142))</f>
        <v/>
      </c>
      <c r="I142" s="56" t="str">
        <f t="shared" si="42"/>
        <v/>
      </c>
      <c r="J142" s="56" t="str">
        <f t="shared" si="48"/>
        <v/>
      </c>
      <c r="K142" s="56"/>
      <c r="L142" s="56" t="str">
        <f t="shared" si="43"/>
        <v/>
      </c>
      <c r="M142" s="56" t="str">
        <f t="shared" si="36"/>
        <v/>
      </c>
      <c r="N142" s="56" t="str">
        <f t="shared" si="37"/>
        <v/>
      </c>
      <c r="P142" s="59" t="str">
        <f>IF(A141=$D$8,XIRR(H$24:H141,C$24:C141),"")</f>
        <v/>
      </c>
      <c r="Q142" s="56" t="str">
        <f t="shared" si="35"/>
        <v/>
      </c>
      <c r="R142" s="56">
        <f t="shared" si="32"/>
        <v>0</v>
      </c>
      <c r="S142" s="21" t="e">
        <f t="shared" ca="1" si="33"/>
        <v>#VALUE!</v>
      </c>
      <c r="T142" s="21" t="e">
        <f t="shared" ca="1" si="34"/>
        <v>#VALUE!</v>
      </c>
      <c r="U142" s="21" t="e">
        <f t="shared" ca="1" si="44"/>
        <v>#VALUE!</v>
      </c>
      <c r="V142" s="60" t="e">
        <f t="shared" ca="1" si="45"/>
        <v>#VALUE!</v>
      </c>
      <c r="W142" s="61" t="e">
        <f t="shared" ca="1" si="28"/>
        <v>#VALUE!</v>
      </c>
    </row>
    <row r="143" spans="1:23" x14ac:dyDescent="0.25">
      <c r="A143" s="58" t="str">
        <f t="shared" si="30"/>
        <v/>
      </c>
      <c r="B143" s="55" t="str">
        <f t="shared" si="41"/>
        <v/>
      </c>
      <c r="C143" s="55" t="str">
        <f t="shared" ca="1" si="31"/>
        <v xml:space="preserve"> </v>
      </c>
      <c r="D143" s="58" t="str">
        <f t="shared" si="39"/>
        <v/>
      </c>
      <c r="E143" s="56" t="str">
        <f t="shared" si="40"/>
        <v/>
      </c>
      <c r="F143" s="56" t="str">
        <f>IF(AND(A142="",A144=""),"",IF(A143="",ROUND(SUM($F$25:F142),2),IF(A143=$D$8,$E$24-ROUND(SUM($F$25:F142),2),ROUND($E$24/$D$8,2))))</f>
        <v/>
      </c>
      <c r="G143" s="56" t="str">
        <f>IF(A142=$D$8,ROUND(SUM($G$25:G142),2),IF(A143&gt;$D$8,"",IF(T143&lt;&gt;T142,ROUND(SUM(V143*$D$9*E142/T143,W143*$D$9*E142/T142),2),ROUND(E142*$D$9*D143/T142,2))))</f>
        <v/>
      </c>
      <c r="H143" s="56" t="str">
        <f>IF(A142=$D$8,SUM($H$25:H142),IF(A142&gt;$D$8,"",F143+G143))</f>
        <v/>
      </c>
      <c r="I143" s="56" t="str">
        <f t="shared" si="42"/>
        <v/>
      </c>
      <c r="J143" s="56" t="str">
        <f t="shared" si="48"/>
        <v/>
      </c>
      <c r="K143" s="56"/>
      <c r="L143" s="56" t="str">
        <f t="shared" si="43"/>
        <v/>
      </c>
      <c r="M143" s="56" t="str">
        <f t="shared" si="36"/>
        <v/>
      </c>
      <c r="N143" s="56" t="str">
        <f t="shared" si="37"/>
        <v/>
      </c>
      <c r="P143" s="59" t="str">
        <f>IF(A142=$D$8,XIRR(H$24:H142,C$24:C142),"")</f>
        <v/>
      </c>
      <c r="Q143" s="56" t="str">
        <f t="shared" si="35"/>
        <v/>
      </c>
      <c r="R143" s="56">
        <f t="shared" si="32"/>
        <v>0</v>
      </c>
      <c r="S143" s="21" t="e">
        <f t="shared" ca="1" si="33"/>
        <v>#VALUE!</v>
      </c>
      <c r="T143" s="21" t="e">
        <f t="shared" ca="1" si="34"/>
        <v>#VALUE!</v>
      </c>
      <c r="U143" s="21" t="e">
        <f t="shared" ca="1" si="44"/>
        <v>#VALUE!</v>
      </c>
      <c r="V143" s="60" t="e">
        <f t="shared" ca="1" si="45"/>
        <v>#VALUE!</v>
      </c>
      <c r="W143" s="61" t="e">
        <f t="shared" ca="1" si="28"/>
        <v>#VALUE!</v>
      </c>
    </row>
    <row r="144" spans="1:23" x14ac:dyDescent="0.25">
      <c r="A144" s="58" t="str">
        <f t="shared" si="30"/>
        <v/>
      </c>
      <c r="B144" s="55" t="str">
        <f t="shared" si="41"/>
        <v/>
      </c>
      <c r="C144" s="55" t="str">
        <f t="shared" ca="1" si="31"/>
        <v xml:space="preserve"> </v>
      </c>
      <c r="D144" s="58" t="str">
        <f t="shared" si="39"/>
        <v/>
      </c>
      <c r="E144" s="56" t="str">
        <f t="shared" si="40"/>
        <v/>
      </c>
      <c r="F144" s="56" t="str">
        <f>IF(AND(A143="",A145=""),"",IF(A144="",ROUND(SUM($F$25:F143),2),IF(A144=$D$8,$E$24-ROUND(SUM($F$25:F143),2),ROUND($E$24/$D$8,2))))</f>
        <v/>
      </c>
      <c r="G144" s="56" t="str">
        <f>IF(A143=$D$8,ROUND(SUM($G$25:G143),2),IF(A144&gt;$D$8,"",IF(T144&lt;&gt;T143,ROUND(SUM(V144*$D$9*E143/T144,W144*$D$9*E143/T143),2),ROUND(E143*$D$9*D144/T143,2))))</f>
        <v/>
      </c>
      <c r="H144" s="56" t="str">
        <f>IF(A143=$D$8,SUM($H$25:H143),IF(A143&gt;$D$8,"",F144+G144))</f>
        <v/>
      </c>
      <c r="I144" s="56" t="str">
        <f t="shared" si="42"/>
        <v/>
      </c>
      <c r="J144" s="56" t="str">
        <f t="shared" si="48"/>
        <v/>
      </c>
      <c r="K144" s="56"/>
      <c r="L144" s="56" t="str">
        <f t="shared" si="43"/>
        <v/>
      </c>
      <c r="M144" s="56" t="str">
        <f t="shared" si="36"/>
        <v/>
      </c>
      <c r="N144" s="56" t="str">
        <f t="shared" si="37"/>
        <v/>
      </c>
      <c r="P144" s="59" t="str">
        <f>IF(A143=$D$8,XIRR(H$24:H143,C$24:C143),"")</f>
        <v/>
      </c>
      <c r="Q144" s="56" t="str">
        <f t="shared" si="35"/>
        <v/>
      </c>
      <c r="R144" s="56">
        <f t="shared" si="32"/>
        <v>0</v>
      </c>
      <c r="S144" s="21" t="e">
        <f t="shared" ca="1" si="33"/>
        <v>#VALUE!</v>
      </c>
      <c r="T144" s="21" t="e">
        <f t="shared" ca="1" si="34"/>
        <v>#VALUE!</v>
      </c>
      <c r="U144" s="21" t="e">
        <f t="shared" ca="1" si="44"/>
        <v>#VALUE!</v>
      </c>
      <c r="V144" s="60" t="e">
        <f t="shared" ca="1" si="45"/>
        <v>#VALUE!</v>
      </c>
      <c r="W144" s="61" t="e">
        <f t="shared" ca="1" si="28"/>
        <v>#VALUE!</v>
      </c>
    </row>
    <row r="145" spans="1:23" x14ac:dyDescent="0.25">
      <c r="A145" s="58" t="str">
        <f t="shared" si="30"/>
        <v/>
      </c>
      <c r="B145" s="55" t="str">
        <f t="shared" si="41"/>
        <v/>
      </c>
      <c r="C145" s="55" t="str">
        <f t="shared" ca="1" si="31"/>
        <v xml:space="preserve"> </v>
      </c>
      <c r="D145" s="58" t="str">
        <f t="shared" si="39"/>
        <v/>
      </c>
      <c r="E145" s="56" t="str">
        <f t="shared" si="40"/>
        <v/>
      </c>
      <c r="F145" s="56" t="str">
        <f>IF(AND(A144="",A146=""),"",IF(A145="",ROUND(SUM($F$25:F144),2),IF(A145=$D$8,$E$24-ROUND(SUM($F$25:F144),2),ROUND($E$24/$D$8,2))))</f>
        <v/>
      </c>
      <c r="G145" s="56" t="str">
        <f>IF(A144=$D$8,ROUND(SUM($G$25:G144),2),IF(A145&gt;$D$8,"",IF(T145&lt;&gt;T144,ROUND(SUM(V145*$D$9*E144/T145,W145*$D$9*E144/T144),2),ROUND(E144*$D$9*D145/T144,2))))</f>
        <v/>
      </c>
      <c r="H145" s="56" t="str">
        <f>IF(A144=$D$8,SUM($H$25:H144),IF(A144&gt;$D$8,"",F145+G145))</f>
        <v/>
      </c>
      <c r="I145" s="56" t="str">
        <f t="shared" si="42"/>
        <v/>
      </c>
      <c r="J145" s="56" t="str">
        <f>IF($D$8&gt;A144,$N$9,IF($D$8=A144,SUM($J$24:J144)," "))</f>
        <v xml:space="preserve"> </v>
      </c>
      <c r="K145" s="56" t="str">
        <f>IF($D$8&gt;A144,($O$8+$N$10*E144),IF(A144=$D$8,$K$37+$K$24+$K$49+$K$61+$K$73+$K$85+$K$97+$K$109+$K$121+$K$133,""))</f>
        <v/>
      </c>
      <c r="L145" s="56" t="str">
        <f t="shared" si="43"/>
        <v/>
      </c>
      <c r="M145" s="56" t="str">
        <f t="shared" si="36"/>
        <v/>
      </c>
      <c r="N145" s="56" t="str">
        <f t="shared" si="37"/>
        <v/>
      </c>
      <c r="P145" s="59" t="str">
        <f>IF(A144=$D$8,XIRR(H$24:H144,C$24:C144),"")</f>
        <v/>
      </c>
      <c r="Q145" s="56" t="str">
        <f t="shared" si="35"/>
        <v/>
      </c>
      <c r="R145" s="56">
        <f t="shared" si="32"/>
        <v>0</v>
      </c>
      <c r="S145" s="21" t="e">
        <f t="shared" ca="1" si="33"/>
        <v>#VALUE!</v>
      </c>
      <c r="T145" s="21" t="e">
        <f t="shared" ca="1" si="34"/>
        <v>#VALUE!</v>
      </c>
      <c r="U145" s="21" t="e">
        <f t="shared" ca="1" si="44"/>
        <v>#VALUE!</v>
      </c>
      <c r="V145" s="60" t="e">
        <f t="shared" ca="1" si="45"/>
        <v>#VALUE!</v>
      </c>
      <c r="W145" s="61" t="e">
        <f t="shared" ca="1" si="28"/>
        <v>#VALUE!</v>
      </c>
    </row>
    <row r="146" spans="1:23" x14ac:dyDescent="0.25">
      <c r="A146" s="58" t="str">
        <f t="shared" si="30"/>
        <v/>
      </c>
      <c r="B146" s="55" t="str">
        <f t="shared" si="41"/>
        <v/>
      </c>
      <c r="C146" s="55" t="str">
        <f t="shared" ca="1" si="31"/>
        <v xml:space="preserve"> </v>
      </c>
      <c r="D146" s="58" t="str">
        <f t="shared" si="39"/>
        <v/>
      </c>
      <c r="E146" s="56" t="str">
        <f t="shared" si="40"/>
        <v/>
      </c>
      <c r="F146" s="56" t="str">
        <f>IF(AND(A145="",A147=""),"",IF(A146="",ROUND(SUM($F$25:F145),2),IF(A146=$D$8,$E$24-ROUND(SUM($F$25:F145),2),ROUND($E$24/$D$8,2))))</f>
        <v/>
      </c>
      <c r="G146" s="56" t="str">
        <f>IF(A145=$D$8,ROUND(SUM($G$25:G145),2),IF(A146&gt;$D$8,"",IF(T146&lt;&gt;T145,ROUND(SUM(V146*$D$9*E145/T146,W146*$D$9*E145/T145),2),ROUND(E145*$D$9*D146/T145,2))))</f>
        <v/>
      </c>
      <c r="H146" s="56" t="str">
        <f>IF(A145=$D$8,SUM($H$25:H145),IF(A145&gt;$D$8,"",F146+G146))</f>
        <v/>
      </c>
      <c r="I146" s="56" t="str">
        <f t="shared" si="42"/>
        <v/>
      </c>
      <c r="J146" s="56" t="str">
        <f t="shared" ref="J146:J156" si="49">IF(A145=$D$8,$J$24,"")</f>
        <v/>
      </c>
      <c r="K146" s="56"/>
      <c r="L146" s="56" t="str">
        <f t="shared" si="43"/>
        <v/>
      </c>
      <c r="M146" s="56" t="str">
        <f t="shared" si="36"/>
        <v/>
      </c>
      <c r="N146" s="56" t="str">
        <f t="shared" si="37"/>
        <v/>
      </c>
      <c r="P146" s="59" t="str">
        <f>IF(A145=$D$8,XIRR(H$24:H145,C$24:C145),"")</f>
        <v/>
      </c>
      <c r="Q146" s="56" t="str">
        <f t="shared" si="35"/>
        <v/>
      </c>
      <c r="R146" s="56">
        <f t="shared" si="32"/>
        <v>0</v>
      </c>
      <c r="S146" s="21" t="e">
        <f t="shared" ca="1" si="33"/>
        <v>#VALUE!</v>
      </c>
      <c r="T146" s="21" t="e">
        <f t="shared" ca="1" si="34"/>
        <v>#VALUE!</v>
      </c>
      <c r="U146" s="21" t="e">
        <f t="shared" ca="1" si="44"/>
        <v>#VALUE!</v>
      </c>
      <c r="V146" s="60" t="e">
        <f t="shared" ca="1" si="45"/>
        <v>#VALUE!</v>
      </c>
      <c r="W146" s="61" t="e">
        <f t="shared" ca="1" si="28"/>
        <v>#VALUE!</v>
      </c>
    </row>
    <row r="147" spans="1:23" x14ac:dyDescent="0.25">
      <c r="A147" s="58" t="str">
        <f t="shared" si="30"/>
        <v/>
      </c>
      <c r="B147" s="55" t="str">
        <f t="shared" si="41"/>
        <v/>
      </c>
      <c r="C147" s="55" t="str">
        <f t="shared" ca="1" si="31"/>
        <v xml:space="preserve"> </v>
      </c>
      <c r="D147" s="58" t="str">
        <f t="shared" si="39"/>
        <v/>
      </c>
      <c r="E147" s="56" t="str">
        <f t="shared" si="40"/>
        <v/>
      </c>
      <c r="F147" s="56" t="str">
        <f>IF(AND(A146="",A148=""),"",IF(A147="",ROUND(SUM($F$25:F146),2),IF(A147=$D$8,$E$24-ROUND(SUM($F$25:F146),2),ROUND($E$24/$D$8,2))))</f>
        <v/>
      </c>
      <c r="G147" s="56" t="str">
        <f>IF(A146=$D$8,ROUND(SUM($G$25:G146),2),IF(A147&gt;$D$8,"",IF(T147&lt;&gt;T146,ROUND(SUM(V147*$D$9*E146/T147,W147*$D$9*E146/T146),2),ROUND(E146*$D$9*D147/T146,2))))</f>
        <v/>
      </c>
      <c r="H147" s="56" t="str">
        <f>IF(A146=$D$8,SUM($H$25:H146),IF(A146&gt;$D$8,"",F147+G147))</f>
        <v/>
      </c>
      <c r="I147" s="56" t="str">
        <f t="shared" si="42"/>
        <v/>
      </c>
      <c r="J147" s="56" t="str">
        <f t="shared" si="49"/>
        <v/>
      </c>
      <c r="K147" s="56"/>
      <c r="L147" s="56" t="str">
        <f t="shared" si="43"/>
        <v/>
      </c>
      <c r="M147" s="56" t="str">
        <f t="shared" si="36"/>
        <v/>
      </c>
      <c r="N147" s="56" t="str">
        <f t="shared" si="37"/>
        <v/>
      </c>
      <c r="P147" s="59" t="str">
        <f>IF(A146=$D$8,XIRR(H$24:H146,C$24:C146),"")</f>
        <v/>
      </c>
      <c r="Q147" s="56" t="str">
        <f t="shared" si="35"/>
        <v/>
      </c>
      <c r="R147" s="56">
        <f t="shared" si="32"/>
        <v>0</v>
      </c>
      <c r="S147" s="21" t="e">
        <f t="shared" ca="1" si="33"/>
        <v>#VALUE!</v>
      </c>
      <c r="T147" s="21" t="e">
        <f t="shared" ca="1" si="34"/>
        <v>#VALUE!</v>
      </c>
      <c r="U147" s="21" t="e">
        <f t="shared" ca="1" si="44"/>
        <v>#VALUE!</v>
      </c>
      <c r="V147" s="60" t="e">
        <f t="shared" ca="1" si="45"/>
        <v>#VALUE!</v>
      </c>
      <c r="W147" s="61" t="e">
        <f t="shared" ca="1" si="28"/>
        <v>#VALUE!</v>
      </c>
    </row>
    <row r="148" spans="1:23" x14ac:dyDescent="0.25">
      <c r="A148" s="58" t="str">
        <f t="shared" si="30"/>
        <v/>
      </c>
      <c r="B148" s="55" t="str">
        <f t="shared" si="41"/>
        <v/>
      </c>
      <c r="C148" s="55" t="str">
        <f t="shared" ca="1" si="31"/>
        <v xml:space="preserve"> </v>
      </c>
      <c r="D148" s="58" t="str">
        <f t="shared" si="39"/>
        <v/>
      </c>
      <c r="E148" s="56" t="str">
        <f t="shared" si="40"/>
        <v/>
      </c>
      <c r="F148" s="56" t="str">
        <f>IF(AND(A147="",A149=""),"",IF(A148="",ROUND(SUM($F$25:F147),2),IF(A148=$D$8,$E$24-ROUND(SUM($F$25:F147),2),ROUND($E$24/$D$8,2))))</f>
        <v/>
      </c>
      <c r="G148" s="56" t="str">
        <f>IF(A147=$D$8,ROUND(SUM($G$25:G147),2),IF(A148&gt;$D$8,"",IF(T148&lt;&gt;T147,ROUND(SUM(V148*$D$9*E147/T148,W148*$D$9*E147/T147),2),ROUND(E147*$D$9*D148/T147,2))))</f>
        <v/>
      </c>
      <c r="H148" s="56" t="str">
        <f>IF(A147=$D$8,SUM($H$25:H147),IF(A147&gt;$D$8,"",F148+G148))</f>
        <v/>
      </c>
      <c r="I148" s="56" t="str">
        <f t="shared" si="42"/>
        <v/>
      </c>
      <c r="J148" s="56" t="str">
        <f t="shared" si="49"/>
        <v/>
      </c>
      <c r="K148" s="56"/>
      <c r="L148" s="56" t="str">
        <f t="shared" si="43"/>
        <v/>
      </c>
      <c r="M148" s="56" t="str">
        <f t="shared" si="36"/>
        <v/>
      </c>
      <c r="N148" s="56" t="str">
        <f t="shared" si="37"/>
        <v/>
      </c>
      <c r="P148" s="59" t="str">
        <f>IF(A147=$D$8,XIRR(H$24:H147,C$24:C147),"")</f>
        <v/>
      </c>
      <c r="Q148" s="56" t="str">
        <f t="shared" si="35"/>
        <v/>
      </c>
      <c r="R148" s="56">
        <f t="shared" si="32"/>
        <v>0</v>
      </c>
      <c r="S148" s="21" t="e">
        <f t="shared" ca="1" si="33"/>
        <v>#VALUE!</v>
      </c>
      <c r="T148" s="21" t="e">
        <f t="shared" ca="1" si="34"/>
        <v>#VALUE!</v>
      </c>
      <c r="U148" s="21" t="e">
        <f t="shared" ca="1" si="44"/>
        <v>#VALUE!</v>
      </c>
      <c r="V148" s="60" t="e">
        <f t="shared" ca="1" si="45"/>
        <v>#VALUE!</v>
      </c>
      <c r="W148" s="61" t="e">
        <f t="shared" ca="1" si="28"/>
        <v>#VALUE!</v>
      </c>
    </row>
    <row r="149" spans="1:23" x14ac:dyDescent="0.25">
      <c r="A149" s="58" t="str">
        <f t="shared" si="30"/>
        <v/>
      </c>
      <c r="B149" s="55" t="str">
        <f t="shared" si="41"/>
        <v/>
      </c>
      <c r="C149" s="55" t="str">
        <f t="shared" ca="1" si="31"/>
        <v xml:space="preserve"> </v>
      </c>
      <c r="D149" s="58" t="str">
        <f t="shared" si="39"/>
        <v/>
      </c>
      <c r="E149" s="56" t="str">
        <f t="shared" si="40"/>
        <v/>
      </c>
      <c r="F149" s="56" t="str">
        <f>IF(AND(A148="",A150=""),"",IF(A149="",ROUND(SUM($F$25:F148),2),IF(A149=$D$8,$E$24-ROUND(SUM($F$25:F148),2),ROUND($E$24/$D$8,2))))</f>
        <v/>
      </c>
      <c r="G149" s="56" t="str">
        <f>IF(A148=$D$8,ROUND(SUM($G$25:G148),2),IF(A149&gt;$D$8,"",IF(T149&lt;&gt;T148,ROUND(SUM(V149*$D$9*E148/T149,W149*$D$9*E148/T148),2),ROUND(E148*$D$9*D149/T148,2))))</f>
        <v/>
      </c>
      <c r="H149" s="56" t="str">
        <f>IF(A148=$D$8,SUM($H$25:H148),IF(A148&gt;$D$8,"",F149+G149))</f>
        <v/>
      </c>
      <c r="I149" s="56" t="str">
        <f t="shared" si="42"/>
        <v/>
      </c>
      <c r="J149" s="56" t="str">
        <f t="shared" si="49"/>
        <v/>
      </c>
      <c r="K149" s="56"/>
      <c r="L149" s="56" t="str">
        <f t="shared" si="43"/>
        <v/>
      </c>
      <c r="M149" s="56" t="str">
        <f t="shared" si="36"/>
        <v/>
      </c>
      <c r="N149" s="56" t="str">
        <f t="shared" si="37"/>
        <v/>
      </c>
      <c r="P149" s="59" t="str">
        <f>IF(A148=$D$8,XIRR(H$24:H148,C$24:C148),"")</f>
        <v/>
      </c>
      <c r="Q149" s="56" t="str">
        <f t="shared" si="35"/>
        <v/>
      </c>
      <c r="R149" s="56">
        <f t="shared" si="32"/>
        <v>0</v>
      </c>
      <c r="S149" s="21" t="e">
        <f t="shared" ca="1" si="33"/>
        <v>#VALUE!</v>
      </c>
      <c r="T149" s="21" t="e">
        <f t="shared" ca="1" si="34"/>
        <v>#VALUE!</v>
      </c>
      <c r="U149" s="21" t="e">
        <f t="shared" ca="1" si="44"/>
        <v>#VALUE!</v>
      </c>
      <c r="V149" s="60" t="e">
        <f t="shared" ca="1" si="45"/>
        <v>#VALUE!</v>
      </c>
      <c r="W149" s="61" t="e">
        <f t="shared" ref="W149:W212" ca="1" si="50">D149-V149</f>
        <v>#VALUE!</v>
      </c>
    </row>
    <row r="150" spans="1:23" x14ac:dyDescent="0.25">
      <c r="A150" s="58" t="str">
        <f t="shared" si="30"/>
        <v/>
      </c>
      <c r="B150" s="55" t="str">
        <f t="shared" si="41"/>
        <v/>
      </c>
      <c r="C150" s="55" t="str">
        <f t="shared" ca="1" si="31"/>
        <v xml:space="preserve"> </v>
      </c>
      <c r="D150" s="58" t="str">
        <f t="shared" si="39"/>
        <v/>
      </c>
      <c r="E150" s="56" t="str">
        <f t="shared" si="40"/>
        <v/>
      </c>
      <c r="F150" s="56" t="str">
        <f>IF(AND(A149="",A151=""),"",IF(A150="",ROUND(SUM($F$25:F149),2),IF(A150=$D$8,$E$24-ROUND(SUM($F$25:F149),2),ROUND($E$24/$D$8,2))))</f>
        <v/>
      </c>
      <c r="G150" s="56" t="str">
        <f>IF(A149=$D$8,ROUND(SUM($G$25:G149),2),IF(A150&gt;$D$8,"",IF(T150&lt;&gt;T149,ROUND(SUM(V150*$D$9*E149/T150,W150*$D$9*E149/T149),2),ROUND(E149*$D$9*D150/T149,2))))</f>
        <v/>
      </c>
      <c r="H150" s="56" t="str">
        <f>IF(A149=$D$8,SUM($H$25:H149),IF(A149&gt;$D$8,"",F150+G150))</f>
        <v/>
      </c>
      <c r="I150" s="56" t="str">
        <f t="shared" si="42"/>
        <v/>
      </c>
      <c r="J150" s="56" t="str">
        <f t="shared" si="49"/>
        <v/>
      </c>
      <c r="K150" s="56"/>
      <c r="L150" s="56" t="str">
        <f t="shared" si="43"/>
        <v/>
      </c>
      <c r="M150" s="56" t="str">
        <f t="shared" si="36"/>
        <v/>
      </c>
      <c r="N150" s="56" t="str">
        <f t="shared" si="37"/>
        <v/>
      </c>
      <c r="P150" s="59" t="str">
        <f>IF(A149=$D$8,XIRR(H$24:H149,C$24:C149),"")</f>
        <v/>
      </c>
      <c r="Q150" s="56" t="str">
        <f t="shared" si="35"/>
        <v/>
      </c>
      <c r="R150" s="56">
        <f t="shared" si="32"/>
        <v>0</v>
      </c>
      <c r="S150" s="21" t="e">
        <f t="shared" ca="1" si="33"/>
        <v>#VALUE!</v>
      </c>
      <c r="T150" s="21" t="e">
        <f t="shared" ca="1" si="34"/>
        <v>#VALUE!</v>
      </c>
      <c r="U150" s="21" t="e">
        <f t="shared" ca="1" si="44"/>
        <v>#VALUE!</v>
      </c>
      <c r="V150" s="60" t="e">
        <f t="shared" ca="1" si="45"/>
        <v>#VALUE!</v>
      </c>
      <c r="W150" s="61" t="e">
        <f t="shared" ca="1" si="50"/>
        <v>#VALUE!</v>
      </c>
    </row>
    <row r="151" spans="1:23" x14ac:dyDescent="0.25">
      <c r="A151" s="58" t="str">
        <f t="shared" si="30"/>
        <v/>
      </c>
      <c r="B151" s="55" t="str">
        <f t="shared" si="41"/>
        <v/>
      </c>
      <c r="C151" s="55" t="str">
        <f t="shared" ca="1" si="31"/>
        <v xml:space="preserve"> </v>
      </c>
      <c r="D151" s="58" t="str">
        <f t="shared" si="39"/>
        <v/>
      </c>
      <c r="E151" s="56" t="str">
        <f t="shared" si="40"/>
        <v/>
      </c>
      <c r="F151" s="56" t="str">
        <f>IF(AND(A150="",A152=""),"",IF(A151="",ROUND(SUM($F$25:F150),2),IF(A151=$D$8,$E$24-ROUND(SUM($F$25:F150),2),ROUND($E$24/$D$8,2))))</f>
        <v/>
      </c>
      <c r="G151" s="56" t="str">
        <f>IF(A150=$D$8,ROUND(SUM($G$25:G150),2),IF(A151&gt;$D$8,"",IF(T151&lt;&gt;T150,ROUND(SUM(V151*$D$9*E150/T151,W151*$D$9*E150/T150),2),ROUND(E150*$D$9*D151/T150,2))))</f>
        <v/>
      </c>
      <c r="H151" s="56" t="str">
        <f>IF(A150=$D$8,SUM($H$25:H150),IF(A150&gt;$D$8,"",F151+G151))</f>
        <v/>
      </c>
      <c r="I151" s="56" t="str">
        <f t="shared" si="42"/>
        <v/>
      </c>
      <c r="J151" s="56" t="str">
        <f t="shared" si="49"/>
        <v/>
      </c>
      <c r="K151" s="56"/>
      <c r="L151" s="56" t="str">
        <f t="shared" si="43"/>
        <v/>
      </c>
      <c r="M151" s="56" t="str">
        <f t="shared" si="36"/>
        <v/>
      </c>
      <c r="N151" s="56" t="str">
        <f t="shared" si="37"/>
        <v/>
      </c>
      <c r="P151" s="59" t="str">
        <f>IF(A150=$D$8,XIRR(H$24:H150,C$24:C150),"")</f>
        <v/>
      </c>
      <c r="Q151" s="56" t="str">
        <f t="shared" si="35"/>
        <v/>
      </c>
      <c r="R151" s="56">
        <f t="shared" si="32"/>
        <v>0</v>
      </c>
      <c r="S151" s="21" t="e">
        <f t="shared" ca="1" si="33"/>
        <v>#VALUE!</v>
      </c>
      <c r="T151" s="21" t="e">
        <f t="shared" ca="1" si="34"/>
        <v>#VALUE!</v>
      </c>
      <c r="U151" s="21" t="e">
        <f t="shared" ca="1" si="44"/>
        <v>#VALUE!</v>
      </c>
      <c r="V151" s="60" t="e">
        <f t="shared" ca="1" si="45"/>
        <v>#VALUE!</v>
      </c>
      <c r="W151" s="61" t="e">
        <f t="shared" ca="1" si="50"/>
        <v>#VALUE!</v>
      </c>
    </row>
    <row r="152" spans="1:23" x14ac:dyDescent="0.25">
      <c r="A152" s="58" t="str">
        <f t="shared" si="30"/>
        <v/>
      </c>
      <c r="B152" s="55" t="str">
        <f t="shared" si="41"/>
        <v/>
      </c>
      <c r="C152" s="55" t="str">
        <f t="shared" ca="1" si="31"/>
        <v xml:space="preserve"> </v>
      </c>
      <c r="D152" s="58" t="str">
        <f t="shared" si="39"/>
        <v/>
      </c>
      <c r="E152" s="56" t="str">
        <f t="shared" si="40"/>
        <v/>
      </c>
      <c r="F152" s="56" t="str">
        <f>IF(AND(A151="",A153=""),"",IF(A152="",ROUND(SUM($F$25:F151),2),IF(A152=$D$8,$E$24-ROUND(SUM($F$25:F151),2),ROUND($E$24/$D$8,2))))</f>
        <v/>
      </c>
      <c r="G152" s="56" t="str">
        <f>IF(A151=$D$8,ROUND(SUM($G$25:G151),2),IF(A152&gt;$D$8,"",IF(T152&lt;&gt;T151,ROUND(SUM(V152*$D$9*E151/T152,W152*$D$9*E151/T151),2),ROUND(E151*$D$9*D152/T151,2))))</f>
        <v/>
      </c>
      <c r="H152" s="56" t="str">
        <f>IF(A151=$D$8,SUM($H$25:H151),IF(A151&gt;$D$8,"",F152+G152))</f>
        <v/>
      </c>
      <c r="I152" s="56" t="str">
        <f t="shared" si="42"/>
        <v/>
      </c>
      <c r="J152" s="56" t="str">
        <f t="shared" si="49"/>
        <v/>
      </c>
      <c r="K152" s="56"/>
      <c r="L152" s="56" t="str">
        <f t="shared" si="43"/>
        <v/>
      </c>
      <c r="M152" s="56" t="str">
        <f t="shared" si="36"/>
        <v/>
      </c>
      <c r="N152" s="56" t="str">
        <f t="shared" si="37"/>
        <v/>
      </c>
      <c r="P152" s="59" t="str">
        <f>IF(A151=$D$8,XIRR(H$24:H151,C$24:C151),"")</f>
        <v/>
      </c>
      <c r="Q152" s="56" t="str">
        <f t="shared" si="35"/>
        <v/>
      </c>
      <c r="R152" s="56">
        <f t="shared" si="32"/>
        <v>0</v>
      </c>
      <c r="S152" s="21" t="e">
        <f t="shared" ca="1" si="33"/>
        <v>#VALUE!</v>
      </c>
      <c r="T152" s="21" t="e">
        <f t="shared" ca="1" si="34"/>
        <v>#VALUE!</v>
      </c>
      <c r="U152" s="21" t="e">
        <f t="shared" ca="1" si="44"/>
        <v>#VALUE!</v>
      </c>
      <c r="V152" s="60" t="e">
        <f t="shared" ca="1" si="45"/>
        <v>#VALUE!</v>
      </c>
      <c r="W152" s="61" t="e">
        <f t="shared" ca="1" si="50"/>
        <v>#VALUE!</v>
      </c>
    </row>
    <row r="153" spans="1:23" x14ac:dyDescent="0.25">
      <c r="A153" s="58" t="str">
        <f t="shared" si="30"/>
        <v/>
      </c>
      <c r="B153" s="55" t="str">
        <f t="shared" si="41"/>
        <v/>
      </c>
      <c r="C153" s="55" t="str">
        <f t="shared" ca="1" si="31"/>
        <v xml:space="preserve"> </v>
      </c>
      <c r="D153" s="58" t="str">
        <f t="shared" si="39"/>
        <v/>
      </c>
      <c r="E153" s="56" t="str">
        <f t="shared" si="40"/>
        <v/>
      </c>
      <c r="F153" s="56" t="str">
        <f>IF(AND(A152="",A154=""),"",IF(A153="",ROUND(SUM($F$25:F152),2),IF(A153=$D$8,$E$24-ROUND(SUM($F$25:F152),2),ROUND($E$24/$D$8,2))))</f>
        <v/>
      </c>
      <c r="G153" s="56" t="str">
        <f>IF(A152=$D$8,ROUND(SUM($G$25:G152),2),IF(A153&gt;$D$8,"",IF(T153&lt;&gt;T152,ROUND(SUM(V153*$D$9*E152/T153,W153*$D$9*E152/T152),2),ROUND(E152*$D$9*D153/T152,2))))</f>
        <v/>
      </c>
      <c r="H153" s="56" t="str">
        <f>IF(A152=$D$8,SUM($H$25:H152),IF(A152&gt;$D$8,"",F153+G153))</f>
        <v/>
      </c>
      <c r="I153" s="56" t="str">
        <f t="shared" si="42"/>
        <v/>
      </c>
      <c r="J153" s="56" t="str">
        <f t="shared" si="49"/>
        <v/>
      </c>
      <c r="K153" s="56"/>
      <c r="L153" s="56" t="str">
        <f t="shared" si="43"/>
        <v/>
      </c>
      <c r="M153" s="56" t="str">
        <f t="shared" si="36"/>
        <v/>
      </c>
      <c r="N153" s="56" t="str">
        <f t="shared" si="37"/>
        <v/>
      </c>
      <c r="P153" s="59" t="str">
        <f>IF(A152=$D$8,XIRR(H$24:H152,C$24:C152),"")</f>
        <v/>
      </c>
      <c r="Q153" s="56" t="str">
        <f t="shared" si="35"/>
        <v/>
      </c>
      <c r="R153" s="56">
        <f t="shared" si="32"/>
        <v>0</v>
      </c>
      <c r="S153" s="21" t="e">
        <f t="shared" ca="1" si="33"/>
        <v>#VALUE!</v>
      </c>
      <c r="T153" s="21" t="e">
        <f t="shared" ca="1" si="34"/>
        <v>#VALUE!</v>
      </c>
      <c r="U153" s="21" t="e">
        <f t="shared" ca="1" si="44"/>
        <v>#VALUE!</v>
      </c>
      <c r="V153" s="60" t="e">
        <f t="shared" ca="1" si="45"/>
        <v>#VALUE!</v>
      </c>
      <c r="W153" s="61" t="e">
        <f t="shared" ca="1" si="50"/>
        <v>#VALUE!</v>
      </c>
    </row>
    <row r="154" spans="1:23" x14ac:dyDescent="0.25">
      <c r="A154" s="58" t="str">
        <f t="shared" ref="A154:A217" si="51">IF(A153&lt;$D$8,A153+1,"")</f>
        <v/>
      </c>
      <c r="B154" s="55" t="str">
        <f t="shared" si="41"/>
        <v/>
      </c>
      <c r="C154" s="55" t="str">
        <f t="shared" ref="C154:C217" ca="1" si="52">IF(B154=$D$10,B154-1,(IF(B154&gt;$D$10," ",B154)))</f>
        <v xml:space="preserve"> </v>
      </c>
      <c r="D154" s="58" t="str">
        <f t="shared" si="39"/>
        <v/>
      </c>
      <c r="E154" s="56" t="str">
        <f t="shared" si="40"/>
        <v/>
      </c>
      <c r="F154" s="56" t="str">
        <f>IF(AND(A153="",A155=""),"",IF(A154="",ROUND(SUM($F$25:F153),2),IF(A154=$D$8,$E$24-ROUND(SUM($F$25:F153),2),ROUND($E$24/$D$8,2))))</f>
        <v/>
      </c>
      <c r="G154" s="56" t="str">
        <f>IF(A153=$D$8,ROUND(SUM($G$25:G153),2),IF(A154&gt;$D$8,"",IF(T154&lt;&gt;T153,ROUND(SUM(V154*$D$9*E153/T154,W154*$D$9*E153/T153),2),ROUND(E153*$D$9*D154/T153,2))))</f>
        <v/>
      </c>
      <c r="H154" s="56" t="str">
        <f>IF(A153=$D$8,SUM($H$25:H153),IF(A153&gt;$D$8,"",F154+G154))</f>
        <v/>
      </c>
      <c r="I154" s="56" t="str">
        <f t="shared" si="42"/>
        <v/>
      </c>
      <c r="J154" s="56" t="str">
        <f t="shared" si="49"/>
        <v/>
      </c>
      <c r="K154" s="56"/>
      <c r="L154" s="56" t="str">
        <f t="shared" si="43"/>
        <v/>
      </c>
      <c r="M154" s="56" t="str">
        <f t="shared" si="36"/>
        <v/>
      </c>
      <c r="N154" s="56" t="str">
        <f t="shared" si="37"/>
        <v/>
      </c>
      <c r="P154" s="59" t="str">
        <f>IF(A153=$D$8,XIRR(H$24:H153,C$24:C153),"")</f>
        <v/>
      </c>
      <c r="Q154" s="56" t="str">
        <f t="shared" si="35"/>
        <v/>
      </c>
      <c r="R154" s="56">
        <f t="shared" ref="R154:R217" si="53">SUM(H154:Q154)</f>
        <v>0</v>
      </c>
      <c r="S154" s="21" t="e">
        <f t="shared" ref="S154:S217" ca="1" si="54">IF(C154="","",YEAR(C154))</f>
        <v>#VALUE!</v>
      </c>
      <c r="T154" s="21" t="e">
        <f t="shared" ref="T154:T217" ca="1" si="55">IF(OR(S154=2024,S154=2028,S154=2016,S154=2020,S154=2024,S154=2028,S154=2032,S154=2036,S154=2040),366,365)</f>
        <v>#VALUE!</v>
      </c>
      <c r="U154" s="21" t="e">
        <f t="shared" ca="1" si="44"/>
        <v>#VALUE!</v>
      </c>
      <c r="V154" s="60" t="e">
        <f t="shared" ca="1" si="45"/>
        <v>#VALUE!</v>
      </c>
      <c r="W154" s="61" t="e">
        <f t="shared" ca="1" si="50"/>
        <v>#VALUE!</v>
      </c>
    </row>
    <row r="155" spans="1:23" x14ac:dyDescent="0.25">
      <c r="A155" s="58" t="str">
        <f t="shared" si="51"/>
        <v/>
      </c>
      <c r="B155" s="55" t="str">
        <f t="shared" si="41"/>
        <v/>
      </c>
      <c r="C155" s="55" t="str">
        <f t="shared" ca="1" si="52"/>
        <v xml:space="preserve"> </v>
      </c>
      <c r="D155" s="58" t="str">
        <f t="shared" si="39"/>
        <v/>
      </c>
      <c r="E155" s="56" t="str">
        <f t="shared" si="40"/>
        <v/>
      </c>
      <c r="F155" s="56" t="str">
        <f>IF(AND(A154="",A156=""),"",IF(A155="",ROUND(SUM($F$25:F154),2),IF(A155=$D$8,$E$24-ROUND(SUM($F$25:F154),2),ROUND($E$24/$D$8,2))))</f>
        <v/>
      </c>
      <c r="G155" s="56" t="str">
        <f>IF(A154=$D$8,ROUND(SUM($G$25:G154),2),IF(A155&gt;$D$8,"",IF(T155&lt;&gt;T154,ROUND(SUM(V155*$D$9*E154/T155,W155*$D$9*E154/T154),2),ROUND(E154*$D$9*D155/T154,2))))</f>
        <v/>
      </c>
      <c r="H155" s="56" t="str">
        <f>IF(A154=$D$8,SUM($H$25:H154),IF(A154&gt;$D$8,"",F155+G155))</f>
        <v/>
      </c>
      <c r="I155" s="56" t="str">
        <f t="shared" si="42"/>
        <v/>
      </c>
      <c r="J155" s="56" t="str">
        <f t="shared" si="49"/>
        <v/>
      </c>
      <c r="K155" s="56"/>
      <c r="L155" s="56" t="str">
        <f t="shared" si="43"/>
        <v/>
      </c>
      <c r="M155" s="56" t="str">
        <f t="shared" si="36"/>
        <v/>
      </c>
      <c r="N155" s="56" t="str">
        <f t="shared" si="37"/>
        <v/>
      </c>
      <c r="P155" s="59" t="str">
        <f>IF(A154=$D$8,XIRR(H$24:H154,C$24:C154),"")</f>
        <v/>
      </c>
      <c r="Q155" s="56" t="str">
        <f t="shared" ref="Q155:Q218" si="56">IF(A154=$D$8,G155+M155+F155+I155+J155+K155+L155+N155+O155,"")</f>
        <v/>
      </c>
      <c r="R155" s="56">
        <f t="shared" si="53"/>
        <v>0</v>
      </c>
      <c r="S155" s="21" t="e">
        <f t="shared" ca="1" si="54"/>
        <v>#VALUE!</v>
      </c>
      <c r="T155" s="21" t="e">
        <f t="shared" ca="1" si="55"/>
        <v>#VALUE!</v>
      </c>
      <c r="U155" s="21" t="e">
        <f t="shared" ca="1" si="44"/>
        <v>#VALUE!</v>
      </c>
      <c r="V155" s="60" t="e">
        <f t="shared" ca="1" si="45"/>
        <v>#VALUE!</v>
      </c>
      <c r="W155" s="61" t="e">
        <f t="shared" ca="1" si="50"/>
        <v>#VALUE!</v>
      </c>
    </row>
    <row r="156" spans="1:23" x14ac:dyDescent="0.25">
      <c r="A156" s="58" t="str">
        <f t="shared" si="51"/>
        <v/>
      </c>
      <c r="B156" s="55" t="str">
        <f t="shared" si="41"/>
        <v/>
      </c>
      <c r="C156" s="55" t="str">
        <f t="shared" ca="1" si="52"/>
        <v xml:space="preserve"> </v>
      </c>
      <c r="D156" s="58" t="str">
        <f t="shared" si="39"/>
        <v/>
      </c>
      <c r="E156" s="56" t="str">
        <f t="shared" si="40"/>
        <v/>
      </c>
      <c r="F156" s="56" t="str">
        <f>IF(AND(A155="",A157=""),"",IF(A156="",ROUND(SUM($F$25:F155),2),IF(A156=$D$8,$E$24-ROUND(SUM($F$25:F155),2),ROUND($E$24/$D$8,2))))</f>
        <v/>
      </c>
      <c r="G156" s="56" t="str">
        <f>IF(A155=$D$8,ROUND(SUM($G$25:G155),2),IF(A156&gt;$D$8,"",IF(T156&lt;&gt;T155,ROUND(SUM(V156*$D$9*E155/T156,W156*$D$9*E155/T155),2),ROUND(E155*$D$9*D156/T155,2))))</f>
        <v/>
      </c>
      <c r="H156" s="56" t="str">
        <f>IF(A155=$D$8,SUM($H$25:H155),IF(A155&gt;$D$8,"",F156+G156))</f>
        <v/>
      </c>
      <c r="I156" s="56" t="str">
        <f t="shared" si="42"/>
        <v/>
      </c>
      <c r="J156" s="56" t="str">
        <f t="shared" si="49"/>
        <v/>
      </c>
      <c r="K156" s="56"/>
      <c r="L156" s="56" t="str">
        <f t="shared" si="43"/>
        <v/>
      </c>
      <c r="M156" s="56" t="str">
        <f t="shared" ref="M156:M219" si="57">IF(A155=$D$8,$M$24,"")</f>
        <v/>
      </c>
      <c r="N156" s="56" t="str">
        <f t="shared" si="37"/>
        <v/>
      </c>
      <c r="P156" s="59" t="str">
        <f>IF(A155=$D$8,XIRR(H$24:H155,C$24:C155),"")</f>
        <v/>
      </c>
      <c r="Q156" s="56" t="str">
        <f t="shared" si="56"/>
        <v/>
      </c>
      <c r="R156" s="56">
        <f t="shared" si="53"/>
        <v>0</v>
      </c>
      <c r="S156" s="21" t="e">
        <f t="shared" ca="1" si="54"/>
        <v>#VALUE!</v>
      </c>
      <c r="T156" s="21" t="e">
        <f t="shared" ca="1" si="55"/>
        <v>#VALUE!</v>
      </c>
      <c r="U156" s="21" t="e">
        <f t="shared" ca="1" si="44"/>
        <v>#VALUE!</v>
      </c>
      <c r="V156" s="60" t="e">
        <f t="shared" ca="1" si="45"/>
        <v>#VALUE!</v>
      </c>
      <c r="W156" s="61" t="e">
        <f t="shared" ca="1" si="50"/>
        <v>#VALUE!</v>
      </c>
    </row>
    <row r="157" spans="1:23" x14ac:dyDescent="0.25">
      <c r="A157" s="58" t="str">
        <f t="shared" si="51"/>
        <v/>
      </c>
      <c r="B157" s="55" t="str">
        <f t="shared" si="41"/>
        <v/>
      </c>
      <c r="C157" s="55" t="str">
        <f t="shared" ca="1" si="52"/>
        <v xml:space="preserve"> </v>
      </c>
      <c r="D157" s="58" t="str">
        <f t="shared" si="39"/>
        <v/>
      </c>
      <c r="E157" s="56" t="str">
        <f t="shared" si="40"/>
        <v/>
      </c>
      <c r="F157" s="56" t="str">
        <f>IF(AND(A156="",A158=""),"",IF(A157="",ROUND(SUM($F$25:F156),2),IF(A157=$D$8,$E$24-ROUND(SUM($F$25:F156),2),ROUND($E$24/$D$8,2))))</f>
        <v/>
      </c>
      <c r="G157" s="56" t="str">
        <f>IF(A156=$D$8,ROUND(SUM($G$25:G156),2),IF(A157&gt;$D$8,"",IF(T157&lt;&gt;T156,ROUND(SUM(V157*$D$9*E156/T157,W157*$D$9*E156/T156),2),ROUND(E156*$D$9*D157/T156,2))))</f>
        <v/>
      </c>
      <c r="H157" s="56" t="str">
        <f>IF(A156=$D$8,SUM($H$25:H156),IF(A156&gt;$D$8,"",F157+G157))</f>
        <v/>
      </c>
      <c r="I157" s="56" t="str">
        <f t="shared" si="42"/>
        <v/>
      </c>
      <c r="J157" s="56" t="str">
        <f>IF($D$8&gt;A156,$N$9,IF($D$8=A156,SUM($J$24:J156)," "))</f>
        <v xml:space="preserve"> </v>
      </c>
      <c r="K157" s="56" t="str">
        <f>IF($D$8&gt;A156,($O$8+$N$10*E156),IF(A156=$D$8,$K$37+$K$24+$K$49+$K$61+$K$73+$K$85+$K$97+$K$109+$K$121+$K$133+$K$145,""))</f>
        <v/>
      </c>
      <c r="L157" s="56" t="str">
        <f t="shared" si="43"/>
        <v/>
      </c>
      <c r="M157" s="56" t="str">
        <f t="shared" si="57"/>
        <v/>
      </c>
      <c r="N157" s="56" t="str">
        <f t="shared" ref="N157:N220" si="58">IF(A156=$D$8,$N$24,"")</f>
        <v/>
      </c>
      <c r="P157" s="59" t="str">
        <f>IF(A156=$D$8,XIRR(H$24:H156,C$24:C156),"")</f>
        <v/>
      </c>
      <c r="Q157" s="56" t="str">
        <f t="shared" si="56"/>
        <v/>
      </c>
      <c r="R157" s="56">
        <f t="shared" si="53"/>
        <v>0</v>
      </c>
      <c r="S157" s="21" t="e">
        <f t="shared" ca="1" si="54"/>
        <v>#VALUE!</v>
      </c>
      <c r="T157" s="21" t="e">
        <f t="shared" ca="1" si="55"/>
        <v>#VALUE!</v>
      </c>
      <c r="U157" s="21" t="e">
        <f t="shared" ca="1" si="44"/>
        <v>#VALUE!</v>
      </c>
      <c r="V157" s="60" t="e">
        <f t="shared" ca="1" si="45"/>
        <v>#VALUE!</v>
      </c>
      <c r="W157" s="61" t="e">
        <f t="shared" ca="1" si="50"/>
        <v>#VALUE!</v>
      </c>
    </row>
    <row r="158" spans="1:23" x14ac:dyDescent="0.25">
      <c r="A158" s="58" t="str">
        <f t="shared" si="51"/>
        <v/>
      </c>
      <c r="B158" s="55" t="str">
        <f t="shared" si="41"/>
        <v/>
      </c>
      <c r="C158" s="55" t="str">
        <f t="shared" ca="1" si="52"/>
        <v xml:space="preserve"> </v>
      </c>
      <c r="D158" s="58" t="str">
        <f t="shared" si="39"/>
        <v/>
      </c>
      <c r="E158" s="56" t="str">
        <f t="shared" si="40"/>
        <v/>
      </c>
      <c r="F158" s="56" t="str">
        <f>IF(AND(A157="",A159=""),"",IF(A158="",ROUND(SUM($F$25:F157),2),IF(A158=$D$8,$E$24-ROUND(SUM($F$25:F157),2),ROUND($E$24/$D$8,2))))</f>
        <v/>
      </c>
      <c r="G158" s="56" t="str">
        <f>IF(A157=$D$8,ROUND(SUM($G$25:G157),2),IF(A158&gt;$D$8,"",IF(T158&lt;&gt;T157,ROUND(SUM(V158*$D$9*E157/T158,W158*$D$9*E157/T157),2),ROUND(E157*$D$9*D158/T157,2))))</f>
        <v/>
      </c>
      <c r="H158" s="56" t="str">
        <f>IF(A157=$D$8,SUM($H$25:H157),IF(A157&gt;$D$8,"",F158+G158))</f>
        <v/>
      </c>
      <c r="I158" s="56" t="str">
        <f t="shared" si="42"/>
        <v/>
      </c>
      <c r="J158" s="56" t="str">
        <f t="shared" ref="J158:J168" si="59">IF(A157=$D$8,$J$24,"")</f>
        <v/>
      </c>
      <c r="K158" s="56"/>
      <c r="L158" s="56" t="str">
        <f t="shared" si="43"/>
        <v/>
      </c>
      <c r="M158" s="56" t="str">
        <f t="shared" si="57"/>
        <v/>
      </c>
      <c r="N158" s="56" t="str">
        <f t="shared" si="58"/>
        <v/>
      </c>
      <c r="P158" s="59" t="str">
        <f>IF(A157=$D$8,XIRR(H$24:H157,C$24:C157),"")</f>
        <v/>
      </c>
      <c r="Q158" s="56" t="str">
        <f t="shared" si="56"/>
        <v/>
      </c>
      <c r="R158" s="56">
        <f t="shared" si="53"/>
        <v>0</v>
      </c>
      <c r="S158" s="21" t="e">
        <f t="shared" ca="1" si="54"/>
        <v>#VALUE!</v>
      </c>
      <c r="T158" s="21" t="e">
        <f t="shared" ca="1" si="55"/>
        <v>#VALUE!</v>
      </c>
      <c r="U158" s="21" t="e">
        <f t="shared" ca="1" si="44"/>
        <v>#VALUE!</v>
      </c>
      <c r="V158" s="60" t="e">
        <f t="shared" ca="1" si="45"/>
        <v>#VALUE!</v>
      </c>
      <c r="W158" s="61" t="e">
        <f t="shared" ca="1" si="50"/>
        <v>#VALUE!</v>
      </c>
    </row>
    <row r="159" spans="1:23" x14ac:dyDescent="0.25">
      <c r="A159" s="58" t="str">
        <f t="shared" si="51"/>
        <v/>
      </c>
      <c r="B159" s="55" t="str">
        <f t="shared" si="41"/>
        <v/>
      </c>
      <c r="C159" s="55" t="str">
        <f t="shared" ca="1" si="52"/>
        <v xml:space="preserve"> </v>
      </c>
      <c r="D159" s="58" t="str">
        <f t="shared" si="39"/>
        <v/>
      </c>
      <c r="E159" s="56" t="str">
        <f t="shared" si="40"/>
        <v/>
      </c>
      <c r="F159" s="56" t="str">
        <f>IF(AND(A158="",A160=""),"",IF(A159="",ROUND(SUM($F$25:F158),2),IF(A159=$D$8,$E$24-ROUND(SUM($F$25:F158),2),ROUND($E$24/$D$8,2))))</f>
        <v/>
      </c>
      <c r="G159" s="56" t="str">
        <f>IF(A158=$D$8,ROUND(SUM($G$25:G158),2),IF(A159&gt;$D$8,"",IF(T159&lt;&gt;T158,ROUND(SUM(V159*$D$9*E158/T159,W159*$D$9*E158/T158),2),ROUND(E158*$D$9*D159/T158,2))))</f>
        <v/>
      </c>
      <c r="H159" s="56" t="str">
        <f>IF(A158=$D$8,SUM($H$25:H158),IF(A158&gt;$D$8,"",F159+G159))</f>
        <v/>
      </c>
      <c r="I159" s="56" t="str">
        <f t="shared" si="42"/>
        <v/>
      </c>
      <c r="J159" s="56" t="str">
        <f t="shared" si="59"/>
        <v/>
      </c>
      <c r="K159" s="56"/>
      <c r="L159" s="56" t="str">
        <f t="shared" si="43"/>
        <v/>
      </c>
      <c r="M159" s="56" t="str">
        <f t="shared" si="57"/>
        <v/>
      </c>
      <c r="N159" s="56" t="str">
        <f t="shared" si="58"/>
        <v/>
      </c>
      <c r="P159" s="59" t="str">
        <f>IF(A158=$D$8,XIRR(H$24:H158,C$24:C158),"")</f>
        <v/>
      </c>
      <c r="Q159" s="56" t="str">
        <f t="shared" si="56"/>
        <v/>
      </c>
      <c r="R159" s="56">
        <f t="shared" si="53"/>
        <v>0</v>
      </c>
      <c r="S159" s="21" t="e">
        <f t="shared" ca="1" si="54"/>
        <v>#VALUE!</v>
      </c>
      <c r="T159" s="21" t="e">
        <f t="shared" ca="1" si="55"/>
        <v>#VALUE!</v>
      </c>
      <c r="U159" s="21" t="e">
        <f t="shared" ca="1" si="44"/>
        <v>#VALUE!</v>
      </c>
      <c r="V159" s="60" t="e">
        <f t="shared" ca="1" si="45"/>
        <v>#VALUE!</v>
      </c>
      <c r="W159" s="61" t="e">
        <f t="shared" ca="1" si="50"/>
        <v>#VALUE!</v>
      </c>
    </row>
    <row r="160" spans="1:23" x14ac:dyDescent="0.25">
      <c r="A160" s="58" t="str">
        <f t="shared" si="51"/>
        <v/>
      </c>
      <c r="B160" s="55" t="str">
        <f t="shared" si="41"/>
        <v/>
      </c>
      <c r="C160" s="55" t="str">
        <f t="shared" ca="1" si="52"/>
        <v xml:space="preserve"> </v>
      </c>
      <c r="D160" s="58" t="str">
        <f t="shared" si="39"/>
        <v/>
      </c>
      <c r="E160" s="56" t="str">
        <f t="shared" si="40"/>
        <v/>
      </c>
      <c r="F160" s="56" t="str">
        <f>IF(AND(A159="",A161=""),"",IF(A160="",ROUND(SUM($F$25:F159),2),IF(A160=$D$8,$E$24-ROUND(SUM($F$25:F159),2),ROUND($E$24/$D$8,2))))</f>
        <v/>
      </c>
      <c r="G160" s="56" t="str">
        <f>IF(A159=$D$8,ROUND(SUM($G$25:G159),2),IF(A160&gt;$D$8,"",IF(T160&lt;&gt;T159,ROUND(SUM(V160*$D$9*E159/T160,W160*$D$9*E159/T159),2),ROUND(E159*$D$9*D160/T159,2))))</f>
        <v/>
      </c>
      <c r="H160" s="56" t="str">
        <f>IF(A159=$D$8,SUM($H$25:H159),IF(A159&gt;$D$8,"",F160+G160))</f>
        <v/>
      </c>
      <c r="I160" s="56" t="str">
        <f t="shared" si="42"/>
        <v/>
      </c>
      <c r="J160" s="56" t="str">
        <f t="shared" si="59"/>
        <v/>
      </c>
      <c r="K160" s="56"/>
      <c r="L160" s="56" t="str">
        <f t="shared" si="43"/>
        <v/>
      </c>
      <c r="M160" s="56" t="str">
        <f t="shared" si="57"/>
        <v/>
      </c>
      <c r="N160" s="56" t="str">
        <f t="shared" si="58"/>
        <v/>
      </c>
      <c r="P160" s="59" t="str">
        <f>IF(A159=$D$8,XIRR(H$24:H159,C$24:C159),"")</f>
        <v/>
      </c>
      <c r="Q160" s="56" t="str">
        <f t="shared" si="56"/>
        <v/>
      </c>
      <c r="R160" s="56">
        <f t="shared" si="53"/>
        <v>0</v>
      </c>
      <c r="S160" s="21" t="e">
        <f t="shared" ca="1" si="54"/>
        <v>#VALUE!</v>
      </c>
      <c r="T160" s="21" t="e">
        <f t="shared" ca="1" si="55"/>
        <v>#VALUE!</v>
      </c>
      <c r="U160" s="21" t="e">
        <f t="shared" ca="1" si="44"/>
        <v>#VALUE!</v>
      </c>
      <c r="V160" s="60" t="e">
        <f t="shared" ca="1" si="45"/>
        <v>#VALUE!</v>
      </c>
      <c r="W160" s="61" t="e">
        <f t="shared" ca="1" si="50"/>
        <v>#VALUE!</v>
      </c>
    </row>
    <row r="161" spans="1:23" x14ac:dyDescent="0.25">
      <c r="A161" s="58" t="str">
        <f t="shared" si="51"/>
        <v/>
      </c>
      <c r="B161" s="55" t="str">
        <f t="shared" si="41"/>
        <v/>
      </c>
      <c r="C161" s="55" t="str">
        <f t="shared" ca="1" si="52"/>
        <v xml:space="preserve"> </v>
      </c>
      <c r="D161" s="58" t="str">
        <f t="shared" si="39"/>
        <v/>
      </c>
      <c r="E161" s="56" t="str">
        <f t="shared" si="40"/>
        <v/>
      </c>
      <c r="F161" s="56" t="str">
        <f>IF(AND(A160="",A162=""),"",IF(A161="",ROUND(SUM($F$25:F160),2),IF(A161=$D$8,$E$24-ROUND(SUM($F$25:F160),2),ROUND($E$24/$D$8,2))))</f>
        <v/>
      </c>
      <c r="G161" s="56" t="str">
        <f>IF(A160=$D$8,ROUND(SUM($G$25:G160),2),IF(A161&gt;$D$8,"",IF(T161&lt;&gt;T160,ROUND(SUM(V161*$D$9*E160/T161,W161*$D$9*E160/T160),2),ROUND(E160*$D$9*D161/T160,2))))</f>
        <v/>
      </c>
      <c r="H161" s="56" t="str">
        <f>IF(A160=$D$8,SUM($H$25:H160),IF(A160&gt;$D$8,"",F161+G161))</f>
        <v/>
      </c>
      <c r="I161" s="56" t="str">
        <f t="shared" si="42"/>
        <v/>
      </c>
      <c r="J161" s="56" t="str">
        <f t="shared" si="59"/>
        <v/>
      </c>
      <c r="K161" s="56"/>
      <c r="L161" s="56" t="str">
        <f t="shared" si="43"/>
        <v/>
      </c>
      <c r="M161" s="56" t="str">
        <f t="shared" si="57"/>
        <v/>
      </c>
      <c r="N161" s="56" t="str">
        <f t="shared" si="58"/>
        <v/>
      </c>
      <c r="P161" s="59" t="str">
        <f>IF(A160=$D$8,XIRR(H$24:H160,C$24:C160),"")</f>
        <v/>
      </c>
      <c r="Q161" s="56" t="str">
        <f t="shared" si="56"/>
        <v/>
      </c>
      <c r="R161" s="56">
        <f t="shared" si="53"/>
        <v>0</v>
      </c>
      <c r="S161" s="21" t="e">
        <f t="shared" ca="1" si="54"/>
        <v>#VALUE!</v>
      </c>
      <c r="T161" s="21" t="e">
        <f t="shared" ca="1" si="55"/>
        <v>#VALUE!</v>
      </c>
      <c r="U161" s="21" t="e">
        <f t="shared" ca="1" si="44"/>
        <v>#VALUE!</v>
      </c>
      <c r="V161" s="60" t="e">
        <f t="shared" ca="1" si="45"/>
        <v>#VALUE!</v>
      </c>
      <c r="W161" s="61" t="e">
        <f t="shared" ca="1" si="50"/>
        <v>#VALUE!</v>
      </c>
    </row>
    <row r="162" spans="1:23" x14ac:dyDescent="0.25">
      <c r="A162" s="58" t="str">
        <f t="shared" si="51"/>
        <v/>
      </c>
      <c r="B162" s="55" t="str">
        <f t="shared" si="41"/>
        <v/>
      </c>
      <c r="C162" s="55" t="str">
        <f t="shared" ca="1" si="52"/>
        <v xml:space="preserve"> </v>
      </c>
      <c r="D162" s="58" t="str">
        <f t="shared" si="39"/>
        <v/>
      </c>
      <c r="E162" s="56" t="str">
        <f t="shared" si="40"/>
        <v/>
      </c>
      <c r="F162" s="56" t="str">
        <f>IF(AND(A161="",A163=""),"",IF(A162="",ROUND(SUM($F$25:F161),2),IF(A162=$D$8,$E$24-ROUND(SUM($F$25:F161),2),ROUND($E$24/$D$8,2))))</f>
        <v/>
      </c>
      <c r="G162" s="56" t="str">
        <f>IF(A161=$D$8,ROUND(SUM($G$25:G161),2),IF(A162&gt;$D$8,"",IF(T162&lt;&gt;T161,ROUND(SUM(V162*$D$9*E161/T162,W162*$D$9*E161/T161),2),ROUND(E161*$D$9*D162/T161,2))))</f>
        <v/>
      </c>
      <c r="H162" s="56" t="str">
        <f>IF(A161=$D$8,SUM($H$25:H161),IF(A161&gt;$D$8,"",F162+G162))</f>
        <v/>
      </c>
      <c r="I162" s="56" t="str">
        <f t="shared" si="42"/>
        <v/>
      </c>
      <c r="J162" s="56" t="str">
        <f t="shared" si="59"/>
        <v/>
      </c>
      <c r="K162" s="56"/>
      <c r="L162" s="56" t="str">
        <f t="shared" si="43"/>
        <v/>
      </c>
      <c r="M162" s="56" t="str">
        <f t="shared" si="57"/>
        <v/>
      </c>
      <c r="N162" s="56" t="str">
        <f t="shared" si="58"/>
        <v/>
      </c>
      <c r="P162" s="59" t="str">
        <f>IF(A161=$D$8,XIRR(H$24:H161,C$24:C161),"")</f>
        <v/>
      </c>
      <c r="Q162" s="56" t="str">
        <f t="shared" si="56"/>
        <v/>
      </c>
      <c r="R162" s="56">
        <f t="shared" si="53"/>
        <v>0</v>
      </c>
      <c r="S162" s="21" t="e">
        <f t="shared" ca="1" si="54"/>
        <v>#VALUE!</v>
      </c>
      <c r="T162" s="21" t="e">
        <f t="shared" ca="1" si="55"/>
        <v>#VALUE!</v>
      </c>
      <c r="U162" s="21" t="e">
        <f t="shared" ca="1" si="44"/>
        <v>#VALUE!</v>
      </c>
      <c r="V162" s="60" t="e">
        <f t="shared" ca="1" si="45"/>
        <v>#VALUE!</v>
      </c>
      <c r="W162" s="61" t="e">
        <f t="shared" ca="1" si="50"/>
        <v>#VALUE!</v>
      </c>
    </row>
    <row r="163" spans="1:23" x14ac:dyDescent="0.25">
      <c r="A163" s="58" t="str">
        <f t="shared" si="51"/>
        <v/>
      </c>
      <c r="B163" s="55" t="str">
        <f t="shared" si="41"/>
        <v/>
      </c>
      <c r="C163" s="55" t="str">
        <f t="shared" ca="1" si="52"/>
        <v xml:space="preserve"> </v>
      </c>
      <c r="D163" s="58" t="str">
        <f t="shared" si="39"/>
        <v/>
      </c>
      <c r="E163" s="56" t="str">
        <f t="shared" si="40"/>
        <v/>
      </c>
      <c r="F163" s="56" t="str">
        <f>IF(AND(A162="",A164=""),"",IF(A163="",ROUND(SUM($F$25:F162),2),IF(A163=$D$8,$E$24-ROUND(SUM($F$25:F162),2),ROUND($E$24/$D$8,2))))</f>
        <v/>
      </c>
      <c r="G163" s="56" t="str">
        <f>IF(A162=$D$8,ROUND(SUM($G$25:G162),2),IF(A163&gt;$D$8,"",IF(T163&lt;&gt;T162,ROUND(SUM(V163*$D$9*E162/T163,W163*$D$9*E162/T162),2),ROUND(E162*$D$9*D163/T162,2))))</f>
        <v/>
      </c>
      <c r="H163" s="56" t="str">
        <f>IF(A162=$D$8,SUM($H$25:H162),IF(A162&gt;$D$8,"",F163+G163))</f>
        <v/>
      </c>
      <c r="I163" s="56" t="str">
        <f t="shared" si="42"/>
        <v/>
      </c>
      <c r="J163" s="56" t="str">
        <f t="shared" si="59"/>
        <v/>
      </c>
      <c r="K163" s="56"/>
      <c r="L163" s="56" t="str">
        <f t="shared" si="43"/>
        <v/>
      </c>
      <c r="M163" s="56" t="str">
        <f t="shared" si="57"/>
        <v/>
      </c>
      <c r="N163" s="56" t="str">
        <f t="shared" si="58"/>
        <v/>
      </c>
      <c r="P163" s="59" t="str">
        <f>IF(A162=$D$8,XIRR(H$24:H162,C$24:C162),"")</f>
        <v/>
      </c>
      <c r="Q163" s="56" t="str">
        <f t="shared" si="56"/>
        <v/>
      </c>
      <c r="R163" s="56">
        <f t="shared" si="53"/>
        <v>0</v>
      </c>
      <c r="S163" s="21" t="e">
        <f t="shared" ca="1" si="54"/>
        <v>#VALUE!</v>
      </c>
      <c r="T163" s="21" t="e">
        <f t="shared" ca="1" si="55"/>
        <v>#VALUE!</v>
      </c>
      <c r="U163" s="21" t="e">
        <f t="shared" ca="1" si="44"/>
        <v>#VALUE!</v>
      </c>
      <c r="V163" s="60" t="e">
        <f t="shared" ca="1" si="45"/>
        <v>#VALUE!</v>
      </c>
      <c r="W163" s="61" t="e">
        <f t="shared" ca="1" si="50"/>
        <v>#VALUE!</v>
      </c>
    </row>
    <row r="164" spans="1:23" x14ac:dyDescent="0.25">
      <c r="A164" s="58" t="str">
        <f t="shared" si="51"/>
        <v/>
      </c>
      <c r="B164" s="55" t="str">
        <f t="shared" si="41"/>
        <v/>
      </c>
      <c r="C164" s="55" t="str">
        <f t="shared" ca="1" si="52"/>
        <v xml:space="preserve"> </v>
      </c>
      <c r="D164" s="58" t="str">
        <f t="shared" si="39"/>
        <v/>
      </c>
      <c r="E164" s="56" t="str">
        <f t="shared" si="40"/>
        <v/>
      </c>
      <c r="F164" s="56" t="str">
        <f>IF(AND(A163="",A165=""),"",IF(A164="",ROUND(SUM($F$25:F163),2),IF(A164=$D$8,$E$24-ROUND(SUM($F$25:F163),2),ROUND($E$24/$D$8,2))))</f>
        <v/>
      </c>
      <c r="G164" s="56" t="str">
        <f>IF(A163=$D$8,ROUND(SUM($G$25:G163),2),IF(A164&gt;$D$8,"",IF(T164&lt;&gt;T163,ROUND(SUM(V164*$D$9*E163/T164,W164*$D$9*E163/T163),2),ROUND(E163*$D$9*D164/T163,2))))</f>
        <v/>
      </c>
      <c r="H164" s="56" t="str">
        <f>IF(A163=$D$8,SUM($H$25:H163),IF(A163&gt;$D8,"",F164+G164))</f>
        <v/>
      </c>
      <c r="I164" s="56" t="str">
        <f t="shared" si="42"/>
        <v/>
      </c>
      <c r="J164" s="56" t="str">
        <f t="shared" si="59"/>
        <v/>
      </c>
      <c r="K164" s="56"/>
      <c r="L164" s="56" t="str">
        <f t="shared" si="43"/>
        <v/>
      </c>
      <c r="M164" s="56" t="str">
        <f t="shared" si="57"/>
        <v/>
      </c>
      <c r="N164" s="56" t="str">
        <f t="shared" si="58"/>
        <v/>
      </c>
      <c r="P164" s="59" t="str">
        <f>IF(A163=$D$8,XIRR(H$24:H163,C$24:C163),"")</f>
        <v/>
      </c>
      <c r="Q164" s="56" t="str">
        <f t="shared" si="56"/>
        <v/>
      </c>
      <c r="R164" s="56">
        <f t="shared" si="53"/>
        <v>0</v>
      </c>
      <c r="S164" s="21" t="e">
        <f t="shared" ca="1" si="54"/>
        <v>#VALUE!</v>
      </c>
      <c r="T164" s="21" t="e">
        <f t="shared" ca="1" si="55"/>
        <v>#VALUE!</v>
      </c>
      <c r="U164" s="21" t="e">
        <f t="shared" ca="1" si="44"/>
        <v>#VALUE!</v>
      </c>
      <c r="V164" s="60" t="e">
        <f t="shared" ca="1" si="45"/>
        <v>#VALUE!</v>
      </c>
      <c r="W164" s="61" t="e">
        <f t="shared" ca="1" si="50"/>
        <v>#VALUE!</v>
      </c>
    </row>
    <row r="165" spans="1:23" x14ac:dyDescent="0.25">
      <c r="A165" s="58" t="str">
        <f t="shared" si="51"/>
        <v/>
      </c>
      <c r="B165" s="55" t="str">
        <f t="shared" si="41"/>
        <v/>
      </c>
      <c r="C165" s="55" t="str">
        <f t="shared" ca="1" si="52"/>
        <v xml:space="preserve"> </v>
      </c>
      <c r="D165" s="58" t="str">
        <f t="shared" ref="D165:D228" si="60">IF(A165&gt;$D$8,"",C165-C164)</f>
        <v/>
      </c>
      <c r="E165" s="56" t="str">
        <f t="shared" ref="E165:E228" si="61">IF(A165&gt;$D$8,"",E164-F165)</f>
        <v/>
      </c>
      <c r="F165" s="56" t="str">
        <f>IF(AND(A164="",A166=""),"",IF(A165="",ROUND(SUM($F$25:F164),2),IF(A165=$D$8,$E$24-ROUND(SUM($F$25:F164),2),ROUND($E$24/$D$8,2))))</f>
        <v/>
      </c>
      <c r="G165" s="56" t="str">
        <f>IF(A164=$D$8,ROUND(SUM($G$25:G164),2),IF(A165&gt;$D$8,"",IF(T165&lt;&gt;T164,ROUND(SUM(V165*$D$9*E164/T165,W165*$D$9*E164/T164),2),ROUND(E164*$D$9*D165/T164,2))))</f>
        <v/>
      </c>
      <c r="H165" s="56" t="str">
        <f>IF(A164=$D$8,SUM($H$25:H164),IF(A164&gt;$D$8,"",F165+G165))</f>
        <v/>
      </c>
      <c r="I165" s="56" t="str">
        <f t="shared" si="42"/>
        <v/>
      </c>
      <c r="J165" s="56" t="str">
        <f t="shared" si="59"/>
        <v/>
      </c>
      <c r="K165" s="56"/>
      <c r="L165" s="56" t="str">
        <f t="shared" si="43"/>
        <v/>
      </c>
      <c r="M165" s="56" t="str">
        <f t="shared" si="57"/>
        <v/>
      </c>
      <c r="N165" s="56" t="str">
        <f t="shared" si="58"/>
        <v/>
      </c>
      <c r="P165" s="59" t="str">
        <f>IF(A164=$D$8,XIRR(H$24:H164,C$24:C164),"")</f>
        <v/>
      </c>
      <c r="Q165" s="56" t="str">
        <f t="shared" si="56"/>
        <v/>
      </c>
      <c r="R165" s="56">
        <f t="shared" si="53"/>
        <v>0</v>
      </c>
      <c r="S165" s="21" t="e">
        <f t="shared" ca="1" si="54"/>
        <v>#VALUE!</v>
      </c>
      <c r="T165" s="21" t="e">
        <f t="shared" ca="1" si="55"/>
        <v>#VALUE!</v>
      </c>
      <c r="U165" s="21" t="e">
        <f t="shared" ca="1" si="44"/>
        <v>#VALUE!</v>
      </c>
      <c r="V165" s="60" t="e">
        <f t="shared" ca="1" si="45"/>
        <v>#VALUE!</v>
      </c>
      <c r="W165" s="61" t="e">
        <f t="shared" ca="1" si="50"/>
        <v>#VALUE!</v>
      </c>
    </row>
    <row r="166" spans="1:23" x14ac:dyDescent="0.25">
      <c r="A166" s="58" t="str">
        <f t="shared" si="51"/>
        <v/>
      </c>
      <c r="B166" s="55" t="str">
        <f t="shared" ref="B166:B229" si="62">IF(A166="","",EDATE($B$24,A166))</f>
        <v/>
      </c>
      <c r="C166" s="55" t="str">
        <f t="shared" ca="1" si="52"/>
        <v xml:space="preserve"> </v>
      </c>
      <c r="D166" s="58" t="str">
        <f t="shared" si="60"/>
        <v/>
      </c>
      <c r="E166" s="56" t="str">
        <f t="shared" si="61"/>
        <v/>
      </c>
      <c r="F166" s="56" t="str">
        <f>IF(AND(A165="",A167=""),"",IF(A166="",ROUND(SUM($F$25:F165),2),IF(A166=$D$8,$E$24-ROUND(SUM($F$25:F165),2),ROUND($E$24/$D$8,2))))</f>
        <v/>
      </c>
      <c r="G166" s="56" t="str">
        <f>IF(A165=$D$8,ROUND(SUM($G$25:G165),2),IF(A166&gt;$D$8,"",IF(T166&lt;&gt;T165,ROUND(SUM(V166*$D$9*E165/T166,W166*$D$9*E165/T165),2),ROUND(E165*$D$9*D166/T165,2))))</f>
        <v/>
      </c>
      <c r="H166" s="56" t="str">
        <f>IF(A165=$D$8,SUM($H$25:H165),IF(A165&gt;$D$8,"",F166+G166))</f>
        <v/>
      </c>
      <c r="I166" s="56" t="str">
        <f t="shared" ref="I166:I229" si="63">IF(A165=$D$8,$I$24,"")</f>
        <v/>
      </c>
      <c r="J166" s="56" t="str">
        <f t="shared" si="59"/>
        <v/>
      </c>
      <c r="K166" s="56"/>
      <c r="L166" s="56" t="str">
        <f t="shared" ref="L166:L229" si="64">IF(A165=$D$8,$L$24,"")</f>
        <v/>
      </c>
      <c r="M166" s="56" t="str">
        <f t="shared" si="57"/>
        <v/>
      </c>
      <c r="N166" s="56" t="str">
        <f t="shared" si="58"/>
        <v/>
      </c>
      <c r="P166" s="59" t="str">
        <f>IF(A165=$D$8,XIRR(H$24:H165,C$24:C165),"")</f>
        <v/>
      </c>
      <c r="Q166" s="56" t="str">
        <f t="shared" si="56"/>
        <v/>
      </c>
      <c r="R166" s="56">
        <f t="shared" si="53"/>
        <v>0</v>
      </c>
      <c r="S166" s="21" t="e">
        <f t="shared" ca="1" si="54"/>
        <v>#VALUE!</v>
      </c>
      <c r="T166" s="21" t="e">
        <f t="shared" ca="1" si="55"/>
        <v>#VALUE!</v>
      </c>
      <c r="U166" s="21" t="e">
        <f t="shared" ca="1" si="44"/>
        <v>#VALUE!</v>
      </c>
      <c r="V166" s="60" t="e">
        <f t="shared" ca="1" si="45"/>
        <v>#VALUE!</v>
      </c>
      <c r="W166" s="61" t="e">
        <f t="shared" ca="1" si="50"/>
        <v>#VALUE!</v>
      </c>
    </row>
    <row r="167" spans="1:23" x14ac:dyDescent="0.25">
      <c r="A167" s="58" t="str">
        <f t="shared" si="51"/>
        <v/>
      </c>
      <c r="B167" s="55" t="str">
        <f t="shared" si="62"/>
        <v/>
      </c>
      <c r="C167" s="55" t="str">
        <f t="shared" ca="1" si="52"/>
        <v xml:space="preserve"> </v>
      </c>
      <c r="D167" s="58" t="str">
        <f t="shared" si="60"/>
        <v/>
      </c>
      <c r="E167" s="56" t="str">
        <f t="shared" si="61"/>
        <v/>
      </c>
      <c r="F167" s="56" t="str">
        <f>IF(AND(A166="",A168=""),"",IF(A167="",ROUND(SUM($F$25:F166),2),IF(A167=$D$8,$E$24-ROUND(SUM($F$25:F166),2),ROUND($E$24/$D$8,2))))</f>
        <v/>
      </c>
      <c r="G167" s="56" t="str">
        <f>IF(A166=$D$8,ROUND(SUM($G$25:G166),2),IF(A167&gt;$D$8,"",IF(T167&lt;&gt;T166,ROUND(SUM(V167*$D$9*E166/T167,W167*$D$9*E166/T166),2),ROUND(E166*$D$9*D167/T166,2))))</f>
        <v/>
      </c>
      <c r="H167" s="56" t="str">
        <f>IF(A166=$D$8,SUM($H$25:H166),IF(A166&gt;$D$8,"",F167+G167))</f>
        <v/>
      </c>
      <c r="I167" s="56" t="str">
        <f t="shared" si="63"/>
        <v/>
      </c>
      <c r="J167" s="56" t="str">
        <f t="shared" si="59"/>
        <v/>
      </c>
      <c r="K167" s="56"/>
      <c r="L167" s="56" t="str">
        <f t="shared" si="64"/>
        <v/>
      </c>
      <c r="M167" s="56" t="str">
        <f t="shared" si="57"/>
        <v/>
      </c>
      <c r="N167" s="56" t="str">
        <f t="shared" si="58"/>
        <v/>
      </c>
      <c r="P167" s="59" t="str">
        <f>IF(A166=$D$8,XIRR(H$24:H166,C$24:C166),"")</f>
        <v/>
      </c>
      <c r="Q167" s="56" t="str">
        <f t="shared" si="56"/>
        <v/>
      </c>
      <c r="R167" s="56">
        <f t="shared" si="53"/>
        <v>0</v>
      </c>
      <c r="S167" s="21" t="e">
        <f t="shared" ca="1" si="54"/>
        <v>#VALUE!</v>
      </c>
      <c r="T167" s="21" t="e">
        <f t="shared" ca="1" si="55"/>
        <v>#VALUE!</v>
      </c>
      <c r="U167" s="21" t="e">
        <f t="shared" ca="1" si="44"/>
        <v>#VALUE!</v>
      </c>
      <c r="V167" s="60" t="e">
        <f t="shared" ca="1" si="45"/>
        <v>#VALUE!</v>
      </c>
      <c r="W167" s="61" t="e">
        <f t="shared" ca="1" si="50"/>
        <v>#VALUE!</v>
      </c>
    </row>
    <row r="168" spans="1:23" x14ac:dyDescent="0.25">
      <c r="A168" s="58" t="str">
        <f t="shared" si="51"/>
        <v/>
      </c>
      <c r="B168" s="55" t="str">
        <f t="shared" si="62"/>
        <v/>
      </c>
      <c r="C168" s="55" t="str">
        <f t="shared" ca="1" si="52"/>
        <v xml:space="preserve"> </v>
      </c>
      <c r="D168" s="58" t="str">
        <f t="shared" si="60"/>
        <v/>
      </c>
      <c r="E168" s="56" t="str">
        <f t="shared" si="61"/>
        <v/>
      </c>
      <c r="F168" s="56" t="str">
        <f>IF(AND(A167="",A169=""),"",IF(A168="",ROUND(SUM($F$25:F167),2),IF(A168=$D$8,$E$24-ROUND(SUM($F$25:F167),2),ROUND($E$24/$D$8,2))))</f>
        <v/>
      </c>
      <c r="G168" s="56" t="str">
        <f>IF(A167=$D$8,ROUND(SUM($G$25:G167),2),IF(A168&gt;$D$8,"",IF(T168&lt;&gt;T167,ROUND(SUM(V168*$D$9*E167/T168,W168*$D$9*E167/T167),2),ROUND(E167*$D$9*D168/T167,2))))</f>
        <v/>
      </c>
      <c r="H168" s="56" t="str">
        <f>IF(A167=$D$8,SUM($H$25:H167),IF(A167&gt;$D$8,"",F168+G168))</f>
        <v/>
      </c>
      <c r="I168" s="56" t="str">
        <f t="shared" si="63"/>
        <v/>
      </c>
      <c r="J168" s="56" t="str">
        <f t="shared" si="59"/>
        <v/>
      </c>
      <c r="K168" s="56"/>
      <c r="L168" s="56" t="str">
        <f t="shared" si="64"/>
        <v/>
      </c>
      <c r="M168" s="56" t="str">
        <f t="shared" si="57"/>
        <v/>
      </c>
      <c r="N168" s="56" t="str">
        <f t="shared" si="58"/>
        <v/>
      </c>
      <c r="P168" s="59" t="str">
        <f>IF(A167=$D$8,XIRR(H$24:H167,C$24:C167),"")</f>
        <v/>
      </c>
      <c r="Q168" s="56" t="str">
        <f t="shared" si="56"/>
        <v/>
      </c>
      <c r="R168" s="56">
        <f t="shared" si="53"/>
        <v>0</v>
      </c>
      <c r="S168" s="21" t="e">
        <f t="shared" ca="1" si="54"/>
        <v>#VALUE!</v>
      </c>
      <c r="T168" s="21" t="e">
        <f t="shared" ca="1" si="55"/>
        <v>#VALUE!</v>
      </c>
      <c r="U168" s="21" t="e">
        <f t="shared" ca="1" si="44"/>
        <v>#VALUE!</v>
      </c>
      <c r="V168" s="60" t="e">
        <f t="shared" ca="1" si="45"/>
        <v>#VALUE!</v>
      </c>
      <c r="W168" s="61" t="e">
        <f t="shared" ca="1" si="50"/>
        <v>#VALUE!</v>
      </c>
    </row>
    <row r="169" spans="1:23" x14ac:dyDescent="0.25">
      <c r="A169" s="58" t="str">
        <f t="shared" si="51"/>
        <v/>
      </c>
      <c r="B169" s="55" t="str">
        <f t="shared" si="62"/>
        <v/>
      </c>
      <c r="C169" s="55" t="str">
        <f t="shared" ca="1" si="52"/>
        <v xml:space="preserve"> </v>
      </c>
      <c r="D169" s="58" t="str">
        <f t="shared" si="60"/>
        <v/>
      </c>
      <c r="E169" s="56" t="str">
        <f t="shared" si="61"/>
        <v/>
      </c>
      <c r="F169" s="56" t="str">
        <f>IF(AND(A168="",A170=""),"",IF(A169="",ROUND(SUM($F$25:F168),2),IF(A169=$D$8,$E$24-ROUND(SUM($F$25:F168),2),ROUND($E$24/$D$8,2))))</f>
        <v/>
      </c>
      <c r="G169" s="56" t="str">
        <f>IF(A168=$D$8,ROUND(SUM($G$25:G168),2),IF(A169&gt;$D$8,"",IF(T169&lt;&gt;T168,ROUND(SUM(V169*$D$9*E168/T169,W169*$D$9*E168/T168),2),ROUND(E168*$D$9*D169/T168,2))))</f>
        <v/>
      </c>
      <c r="H169" s="56" t="str">
        <f>IF(A168=$D$8,SUM($H$25:H168),IF(A168&gt;$D$8,"",F169+G169))</f>
        <v/>
      </c>
      <c r="I169" s="56" t="str">
        <f t="shared" si="63"/>
        <v/>
      </c>
      <c r="J169" s="56" t="str">
        <f>IF($D$8&gt;A168,$N$9,IF($D$8=A168,SUM($J$24:J168)," "))</f>
        <v xml:space="preserve"> </v>
      </c>
      <c r="K169" s="56" t="str">
        <f>IF($D$8&gt;A168,($O$8+$N$10*E168),IF(A168=$D$8,$K$37+$K$24+$K$49+$K$61+$K$73+$K$85+$K$97+$K$109+$K$121+$K$133+$K$145+$K$157,""))</f>
        <v/>
      </c>
      <c r="L169" s="56" t="str">
        <f t="shared" si="64"/>
        <v/>
      </c>
      <c r="M169" s="56" t="str">
        <f t="shared" si="57"/>
        <v/>
      </c>
      <c r="N169" s="56" t="str">
        <f t="shared" si="58"/>
        <v/>
      </c>
      <c r="P169" s="59" t="str">
        <f>IF(A168=$D$8,XIRR(H$24:H168,C$24:C168),"")</f>
        <v/>
      </c>
      <c r="Q169" s="56" t="str">
        <f t="shared" si="56"/>
        <v/>
      </c>
      <c r="R169" s="56">
        <f t="shared" si="53"/>
        <v>0</v>
      </c>
      <c r="S169" s="21" t="e">
        <f t="shared" ca="1" si="54"/>
        <v>#VALUE!</v>
      </c>
      <c r="T169" s="21" t="e">
        <f t="shared" ca="1" si="55"/>
        <v>#VALUE!</v>
      </c>
      <c r="U169" s="21" t="e">
        <f t="shared" ca="1" si="44"/>
        <v>#VALUE!</v>
      </c>
      <c r="V169" s="60" t="e">
        <f t="shared" ca="1" si="45"/>
        <v>#VALUE!</v>
      </c>
      <c r="W169" s="61" t="e">
        <f t="shared" ca="1" si="50"/>
        <v>#VALUE!</v>
      </c>
    </row>
    <row r="170" spans="1:23" x14ac:dyDescent="0.25">
      <c r="A170" s="58" t="str">
        <f t="shared" si="51"/>
        <v/>
      </c>
      <c r="B170" s="55" t="str">
        <f t="shared" si="62"/>
        <v/>
      </c>
      <c r="C170" s="55" t="str">
        <f t="shared" ca="1" si="52"/>
        <v xml:space="preserve"> </v>
      </c>
      <c r="D170" s="58" t="str">
        <f t="shared" si="60"/>
        <v/>
      </c>
      <c r="E170" s="56" t="str">
        <f t="shared" si="61"/>
        <v/>
      </c>
      <c r="F170" s="56" t="str">
        <f>IF(AND(A169="",A171=""),"",IF(A170="",ROUND(SUM($F$25:F169),2),IF(A170=$D$8,$E$24-ROUND(SUM($F$25:F169),2),ROUND($E$24/$D$8,2))))</f>
        <v/>
      </c>
      <c r="G170" s="56" t="str">
        <f>IF(A169=$D$8,ROUND(SUM($G$25:G169),2),IF(A170&gt;$D$8,"",IF(T170&lt;&gt;T169,ROUND(SUM(V170*$D$9*E169/T170,W170*$D$9*E169/T169),2),ROUND(E169*$D$9*D170/T169,2))))</f>
        <v/>
      </c>
      <c r="H170" s="56" t="str">
        <f>IF(A169=$D$8,SUM($H$25:H169),IF(A169&gt;$D$8,"",F170+G170))</f>
        <v/>
      </c>
      <c r="I170" s="56" t="str">
        <f t="shared" si="63"/>
        <v/>
      </c>
      <c r="J170" s="56" t="str">
        <f t="shared" ref="J170:J180" si="65">IF(A169=$D$8,$J$24,"")</f>
        <v/>
      </c>
      <c r="K170" s="56"/>
      <c r="L170" s="56" t="str">
        <f t="shared" si="64"/>
        <v/>
      </c>
      <c r="M170" s="56" t="str">
        <f t="shared" si="57"/>
        <v/>
      </c>
      <c r="N170" s="56" t="str">
        <f t="shared" si="58"/>
        <v/>
      </c>
      <c r="P170" s="59" t="str">
        <f>IF(A169=$D$8,XIRR(H$24:H169,C$24:C169),"")</f>
        <v/>
      </c>
      <c r="Q170" s="56" t="str">
        <f t="shared" si="56"/>
        <v/>
      </c>
      <c r="R170" s="56">
        <f t="shared" si="53"/>
        <v>0</v>
      </c>
      <c r="S170" s="21" t="e">
        <f t="shared" ca="1" si="54"/>
        <v>#VALUE!</v>
      </c>
      <c r="T170" s="21" t="e">
        <f t="shared" ca="1" si="55"/>
        <v>#VALUE!</v>
      </c>
      <c r="U170" s="21" t="e">
        <f t="shared" ca="1" si="44"/>
        <v>#VALUE!</v>
      </c>
      <c r="V170" s="60" t="e">
        <f t="shared" ca="1" si="45"/>
        <v>#VALUE!</v>
      </c>
      <c r="W170" s="61" t="e">
        <f t="shared" ca="1" si="50"/>
        <v>#VALUE!</v>
      </c>
    </row>
    <row r="171" spans="1:23" x14ac:dyDescent="0.25">
      <c r="A171" s="58" t="str">
        <f t="shared" si="51"/>
        <v/>
      </c>
      <c r="B171" s="55" t="str">
        <f t="shared" si="62"/>
        <v/>
      </c>
      <c r="C171" s="55" t="str">
        <f t="shared" ca="1" si="52"/>
        <v xml:space="preserve"> </v>
      </c>
      <c r="D171" s="58" t="str">
        <f t="shared" si="60"/>
        <v/>
      </c>
      <c r="E171" s="56" t="str">
        <f t="shared" si="61"/>
        <v/>
      </c>
      <c r="F171" s="56" t="str">
        <f>IF(AND(A170="",A172=""),"",IF(A171="",ROUND(SUM($F$25:F170),2),IF(A171=$D$8,$E$24-ROUND(SUM($F$25:F170),2),ROUND($E$24/$D$8,2))))</f>
        <v/>
      </c>
      <c r="G171" s="56" t="str">
        <f>IF(A170=$D$8,ROUND(SUM($G$25:G170),2),IF(A171&gt;$D$8,"",IF(T171&lt;&gt;T170,ROUND(SUM(V171*$D$9*E170/T171,W171*$D$9*E170/T170),2),ROUND(E170*$D$9*D171/T170,2))))</f>
        <v/>
      </c>
      <c r="H171" s="56" t="str">
        <f>IF(A170=$D$8,SUM($H$25:H170),IF(A170&gt;$D$8,"",F171+G171))</f>
        <v/>
      </c>
      <c r="I171" s="56" t="str">
        <f t="shared" si="63"/>
        <v/>
      </c>
      <c r="J171" s="56" t="str">
        <f t="shared" si="65"/>
        <v/>
      </c>
      <c r="K171" s="56"/>
      <c r="L171" s="56" t="str">
        <f t="shared" si="64"/>
        <v/>
      </c>
      <c r="M171" s="56" t="str">
        <f t="shared" si="57"/>
        <v/>
      </c>
      <c r="N171" s="56" t="str">
        <f t="shared" si="58"/>
        <v/>
      </c>
      <c r="P171" s="59" t="str">
        <f>IF(A170=$D$8,XIRR(H$24:H170,C$24:C170),"")</f>
        <v/>
      </c>
      <c r="Q171" s="56" t="str">
        <f t="shared" si="56"/>
        <v/>
      </c>
      <c r="R171" s="56">
        <f t="shared" si="53"/>
        <v>0</v>
      </c>
      <c r="S171" s="21" t="e">
        <f t="shared" ca="1" si="54"/>
        <v>#VALUE!</v>
      </c>
      <c r="T171" s="21" t="e">
        <f t="shared" ca="1" si="55"/>
        <v>#VALUE!</v>
      </c>
      <c r="U171" s="21" t="e">
        <f t="shared" ca="1" si="44"/>
        <v>#VALUE!</v>
      </c>
      <c r="V171" s="60" t="e">
        <f t="shared" ca="1" si="45"/>
        <v>#VALUE!</v>
      </c>
      <c r="W171" s="61" t="e">
        <f t="shared" ca="1" si="50"/>
        <v>#VALUE!</v>
      </c>
    </row>
    <row r="172" spans="1:23" x14ac:dyDescent="0.25">
      <c r="A172" s="58" t="str">
        <f t="shared" si="51"/>
        <v/>
      </c>
      <c r="B172" s="55" t="str">
        <f t="shared" si="62"/>
        <v/>
      </c>
      <c r="C172" s="55" t="str">
        <f t="shared" ca="1" si="52"/>
        <v xml:space="preserve"> </v>
      </c>
      <c r="D172" s="58" t="str">
        <f t="shared" si="60"/>
        <v/>
      </c>
      <c r="E172" s="56" t="str">
        <f t="shared" si="61"/>
        <v/>
      </c>
      <c r="F172" s="56" t="str">
        <f>IF(AND(A171="",A173=""),"",IF(A172="",ROUND(SUM($F$25:F171),2),IF(A172=$D$8,$E$24-ROUND(SUM($F$25:F171),2),ROUND($E$24/$D$8,2))))</f>
        <v/>
      </c>
      <c r="G172" s="56" t="str">
        <f>IF(A171=$D$8,ROUND(SUM($G$25:G171),2),IF(A172&gt;$D$8,"",IF(T172&lt;&gt;T171,ROUND(SUM(V172*$D$9*E171/T172,W172*$D$9*E171/T171),2),ROUND(E171*$D$9*D172/T171,2))))</f>
        <v/>
      </c>
      <c r="H172" s="56" t="str">
        <f>IF(A171=$D$8,SUM($H$25:H171),IF(A171&gt;$D$8,"",F172+G172))</f>
        <v/>
      </c>
      <c r="I172" s="56" t="str">
        <f t="shared" si="63"/>
        <v/>
      </c>
      <c r="J172" s="56" t="str">
        <f t="shared" si="65"/>
        <v/>
      </c>
      <c r="K172" s="56"/>
      <c r="L172" s="56" t="str">
        <f t="shared" si="64"/>
        <v/>
      </c>
      <c r="M172" s="56" t="str">
        <f t="shared" si="57"/>
        <v/>
      </c>
      <c r="N172" s="56" t="str">
        <f t="shared" si="58"/>
        <v/>
      </c>
      <c r="P172" s="59" t="str">
        <f>IF(A171=$D$8,XIRR(H$24:H171,C$24:C171),"")</f>
        <v/>
      </c>
      <c r="Q172" s="56" t="str">
        <f t="shared" si="56"/>
        <v/>
      </c>
      <c r="R172" s="56">
        <f t="shared" si="53"/>
        <v>0</v>
      </c>
      <c r="S172" s="21" t="e">
        <f t="shared" ca="1" si="54"/>
        <v>#VALUE!</v>
      </c>
      <c r="T172" s="21" t="e">
        <f t="shared" ca="1" si="55"/>
        <v>#VALUE!</v>
      </c>
      <c r="U172" s="21" t="e">
        <f t="shared" ca="1" si="44"/>
        <v>#VALUE!</v>
      </c>
      <c r="V172" s="60" t="e">
        <f t="shared" ca="1" si="45"/>
        <v>#VALUE!</v>
      </c>
      <c r="W172" s="61" t="e">
        <f t="shared" ca="1" si="50"/>
        <v>#VALUE!</v>
      </c>
    </row>
    <row r="173" spans="1:23" x14ac:dyDescent="0.25">
      <c r="A173" s="58" t="str">
        <f t="shared" si="51"/>
        <v/>
      </c>
      <c r="B173" s="55" t="str">
        <f t="shared" si="62"/>
        <v/>
      </c>
      <c r="C173" s="55" t="str">
        <f t="shared" ca="1" si="52"/>
        <v xml:space="preserve"> </v>
      </c>
      <c r="D173" s="58" t="str">
        <f t="shared" si="60"/>
        <v/>
      </c>
      <c r="E173" s="56" t="str">
        <f t="shared" si="61"/>
        <v/>
      </c>
      <c r="F173" s="56" t="str">
        <f>IF(AND(A172="",A174=""),"",IF(A173="",ROUND(SUM($F$25:F172),2),IF(A173=$D$8,$E$24-ROUND(SUM($F$25:F172),2),ROUND($E$24/$D$8,2))))</f>
        <v/>
      </c>
      <c r="G173" s="56" t="str">
        <f>IF(A172=$D$8,ROUND(SUM($G$25:G172),2),IF(A173&gt;$D$8,"",IF(T173&lt;&gt;T172,ROUND(SUM(V173*$D$9*E172/T173,W173*$D$9*E172/T172),2),ROUND(E172*$D$9*D173/T172,2))))</f>
        <v/>
      </c>
      <c r="H173" s="56" t="str">
        <f>IF(A172=$D$8,SUM($H$25:H172),IF(A172&gt;$D$8,"",F173+G173))</f>
        <v/>
      </c>
      <c r="I173" s="56" t="str">
        <f t="shared" si="63"/>
        <v/>
      </c>
      <c r="J173" s="56" t="str">
        <f t="shared" si="65"/>
        <v/>
      </c>
      <c r="K173" s="56"/>
      <c r="L173" s="56" t="str">
        <f t="shared" si="64"/>
        <v/>
      </c>
      <c r="M173" s="56" t="str">
        <f t="shared" si="57"/>
        <v/>
      </c>
      <c r="N173" s="56" t="str">
        <f t="shared" si="58"/>
        <v/>
      </c>
      <c r="P173" s="59" t="str">
        <f>IF(A172=$D$8,XIRR(H$24:H172,C$24:C172),"")</f>
        <v/>
      </c>
      <c r="Q173" s="56" t="str">
        <f t="shared" si="56"/>
        <v/>
      </c>
      <c r="R173" s="56">
        <f t="shared" si="53"/>
        <v>0</v>
      </c>
      <c r="S173" s="21" t="e">
        <f t="shared" ca="1" si="54"/>
        <v>#VALUE!</v>
      </c>
      <c r="T173" s="21" t="e">
        <f t="shared" ca="1" si="55"/>
        <v>#VALUE!</v>
      </c>
      <c r="U173" s="21" t="e">
        <f t="shared" ref="U173:U236" ca="1" si="66">IF(C173="","",DAY(C173))</f>
        <v>#VALUE!</v>
      </c>
      <c r="V173" s="60" t="e">
        <f t="shared" ref="V173:V236" ca="1" si="67">U173-1</f>
        <v>#VALUE!</v>
      </c>
      <c r="W173" s="61" t="e">
        <f t="shared" ca="1" si="50"/>
        <v>#VALUE!</v>
      </c>
    </row>
    <row r="174" spans="1:23" x14ac:dyDescent="0.25">
      <c r="A174" s="58" t="str">
        <f t="shared" si="51"/>
        <v/>
      </c>
      <c r="B174" s="55" t="str">
        <f t="shared" si="62"/>
        <v/>
      </c>
      <c r="C174" s="55" t="str">
        <f t="shared" ca="1" si="52"/>
        <v xml:space="preserve"> </v>
      </c>
      <c r="D174" s="58" t="str">
        <f t="shared" si="60"/>
        <v/>
      </c>
      <c r="E174" s="56" t="str">
        <f t="shared" si="61"/>
        <v/>
      </c>
      <c r="F174" s="56" t="str">
        <f>IF(AND(A173="",A175=""),"",IF(A174="",ROUND(SUM($F$25:F173),2),IF(A174=$D$8,$E$24-ROUND(SUM($F$25:F173),2),ROUND($E$24/$D$8,2))))</f>
        <v/>
      </c>
      <c r="G174" s="56" t="str">
        <f>IF(A173=$D$8,ROUND(SUM($G$25:G173),2),IF(A174&gt;$D$8,"",IF(T174&lt;&gt;T173,ROUND(SUM(V174*$D$9*E173/T174,W174*$D$9*E173/T173),2),ROUND(E173*$D$9*D174/T173,2))))</f>
        <v/>
      </c>
      <c r="H174" s="56" t="str">
        <f>IF(A173=$D$8,SUM($H$25:H173),IF(A173&gt;$D$8,"",F174+G174))</f>
        <v/>
      </c>
      <c r="I174" s="56" t="str">
        <f t="shared" si="63"/>
        <v/>
      </c>
      <c r="J174" s="56" t="str">
        <f t="shared" si="65"/>
        <v/>
      </c>
      <c r="K174" s="56"/>
      <c r="L174" s="56" t="str">
        <f t="shared" si="64"/>
        <v/>
      </c>
      <c r="M174" s="56" t="str">
        <f t="shared" si="57"/>
        <v/>
      </c>
      <c r="N174" s="56" t="str">
        <f t="shared" si="58"/>
        <v/>
      </c>
      <c r="P174" s="59" t="str">
        <f>IF(A173=$D$8,XIRR(H$24:H173,C$24:C173),"")</f>
        <v/>
      </c>
      <c r="Q174" s="56" t="str">
        <f t="shared" si="56"/>
        <v/>
      </c>
      <c r="R174" s="56">
        <f t="shared" si="53"/>
        <v>0</v>
      </c>
      <c r="S174" s="21" t="e">
        <f t="shared" ca="1" si="54"/>
        <v>#VALUE!</v>
      </c>
      <c r="T174" s="21" t="e">
        <f t="shared" ca="1" si="55"/>
        <v>#VALUE!</v>
      </c>
      <c r="U174" s="21" t="e">
        <f t="shared" ca="1" si="66"/>
        <v>#VALUE!</v>
      </c>
      <c r="V174" s="60" t="e">
        <f t="shared" ca="1" si="67"/>
        <v>#VALUE!</v>
      </c>
      <c r="W174" s="61" t="e">
        <f t="shared" ca="1" si="50"/>
        <v>#VALUE!</v>
      </c>
    </row>
    <row r="175" spans="1:23" x14ac:dyDescent="0.25">
      <c r="A175" s="58" t="str">
        <f t="shared" si="51"/>
        <v/>
      </c>
      <c r="B175" s="55" t="str">
        <f t="shared" si="62"/>
        <v/>
      </c>
      <c r="C175" s="55" t="str">
        <f t="shared" ca="1" si="52"/>
        <v xml:space="preserve"> </v>
      </c>
      <c r="D175" s="58" t="str">
        <f t="shared" si="60"/>
        <v/>
      </c>
      <c r="E175" s="56" t="str">
        <f t="shared" si="61"/>
        <v/>
      </c>
      <c r="F175" s="56" t="str">
        <f>IF(AND(A174="",A176=""),"",IF(A175="",ROUND(SUM($F$25:F174),2),IF(A175=$D$8,$E$24-ROUND(SUM($F$25:F174),2),ROUND($E$24/$D$8,2))))</f>
        <v/>
      </c>
      <c r="G175" s="56" t="str">
        <f>IF(A174=$D$8,ROUND(SUM($G$25:G174),2),IF(A175&gt;$D$8,"",IF(T175&lt;&gt;T174,ROUND(SUM(V175*$D$9*E174/T175,W175*$D$9*E174/T174),2),ROUND(E174*$D$9*D175/T174,2))))</f>
        <v/>
      </c>
      <c r="H175" s="56" t="str">
        <f>IF(A174=$D$8,SUM($H$25:H174),IF(A174&gt;$D$8,"",F175+G175))</f>
        <v/>
      </c>
      <c r="I175" s="56" t="str">
        <f t="shared" si="63"/>
        <v/>
      </c>
      <c r="J175" s="56" t="str">
        <f t="shared" si="65"/>
        <v/>
      </c>
      <c r="K175" s="56"/>
      <c r="L175" s="56" t="str">
        <f t="shared" si="64"/>
        <v/>
      </c>
      <c r="M175" s="56" t="str">
        <f t="shared" si="57"/>
        <v/>
      </c>
      <c r="N175" s="56" t="str">
        <f t="shared" si="58"/>
        <v/>
      </c>
      <c r="P175" s="59" t="str">
        <f>IF(A174=$D$8,XIRR(H$24:H174,C$24:C174),"")</f>
        <v/>
      </c>
      <c r="Q175" s="56" t="str">
        <f t="shared" si="56"/>
        <v/>
      </c>
      <c r="R175" s="56">
        <f t="shared" si="53"/>
        <v>0</v>
      </c>
      <c r="S175" s="21" t="e">
        <f t="shared" ca="1" si="54"/>
        <v>#VALUE!</v>
      </c>
      <c r="T175" s="21" t="e">
        <f t="shared" ca="1" si="55"/>
        <v>#VALUE!</v>
      </c>
      <c r="U175" s="21" t="e">
        <f t="shared" ca="1" si="66"/>
        <v>#VALUE!</v>
      </c>
      <c r="V175" s="60" t="e">
        <f t="shared" ca="1" si="67"/>
        <v>#VALUE!</v>
      </c>
      <c r="W175" s="61" t="e">
        <f t="shared" ca="1" si="50"/>
        <v>#VALUE!</v>
      </c>
    </row>
    <row r="176" spans="1:23" x14ac:dyDescent="0.25">
      <c r="A176" s="58" t="str">
        <f t="shared" si="51"/>
        <v/>
      </c>
      <c r="B176" s="55" t="str">
        <f t="shared" si="62"/>
        <v/>
      </c>
      <c r="C176" s="55" t="str">
        <f t="shared" ca="1" si="52"/>
        <v xml:space="preserve"> </v>
      </c>
      <c r="D176" s="58" t="str">
        <f t="shared" si="60"/>
        <v/>
      </c>
      <c r="E176" s="56" t="str">
        <f t="shared" si="61"/>
        <v/>
      </c>
      <c r="F176" s="56" t="str">
        <f>IF(AND(A175="",A177=""),"",IF(A176="",ROUND(SUM($F$25:F175),2),IF(A176=$D$8,$E$24-ROUND(SUM($F$25:F175),2),ROUND($E$24/$D$8,2))))</f>
        <v/>
      </c>
      <c r="G176" s="56" t="str">
        <f>IF(A175=$D$8,ROUND(SUM($G$25:G175),2),IF(A176&gt;$D$8,"",IF(T176&lt;&gt;T175,ROUND(SUM(V176*$D$9*E175/T176,W176*$D$9*E175/T175),2),ROUND(E175*$D$9*D176/T175,2))))</f>
        <v/>
      </c>
      <c r="H176" s="56" t="str">
        <f>IF(A175=$D$8,SUM($H$25:H175),IF(A175&gt;$D$8,"",F176+G176))</f>
        <v/>
      </c>
      <c r="I176" s="56" t="str">
        <f t="shared" si="63"/>
        <v/>
      </c>
      <c r="J176" s="56" t="str">
        <f t="shared" si="65"/>
        <v/>
      </c>
      <c r="K176" s="56"/>
      <c r="L176" s="56" t="str">
        <f t="shared" si="64"/>
        <v/>
      </c>
      <c r="M176" s="56" t="str">
        <f t="shared" si="57"/>
        <v/>
      </c>
      <c r="N176" s="56" t="str">
        <f t="shared" si="58"/>
        <v/>
      </c>
      <c r="P176" s="59" t="str">
        <f>IF(A175=$D$8,XIRR(H$24:H175,C$24:C175),"")</f>
        <v/>
      </c>
      <c r="Q176" s="56" t="str">
        <f t="shared" si="56"/>
        <v/>
      </c>
      <c r="R176" s="56">
        <f t="shared" si="53"/>
        <v>0</v>
      </c>
      <c r="S176" s="21" t="e">
        <f t="shared" ca="1" si="54"/>
        <v>#VALUE!</v>
      </c>
      <c r="T176" s="21" t="e">
        <f t="shared" ca="1" si="55"/>
        <v>#VALUE!</v>
      </c>
      <c r="U176" s="21" t="e">
        <f t="shared" ca="1" si="66"/>
        <v>#VALUE!</v>
      </c>
      <c r="V176" s="60" t="e">
        <f t="shared" ca="1" si="67"/>
        <v>#VALUE!</v>
      </c>
      <c r="W176" s="61" t="e">
        <f t="shared" ca="1" si="50"/>
        <v>#VALUE!</v>
      </c>
    </row>
    <row r="177" spans="1:23" x14ac:dyDescent="0.25">
      <c r="A177" s="58" t="str">
        <f t="shared" si="51"/>
        <v/>
      </c>
      <c r="B177" s="55" t="str">
        <f t="shared" si="62"/>
        <v/>
      </c>
      <c r="C177" s="55" t="str">
        <f t="shared" ca="1" si="52"/>
        <v xml:space="preserve"> </v>
      </c>
      <c r="D177" s="58" t="str">
        <f t="shared" si="60"/>
        <v/>
      </c>
      <c r="E177" s="56" t="str">
        <f t="shared" si="61"/>
        <v/>
      </c>
      <c r="F177" s="56" t="str">
        <f>IF(AND(A176="",A178=""),"",IF(A177="",ROUND(SUM($F$25:F176),2),IF(A177=$D$8,$E$24-ROUND(SUM($F$25:F176),2),ROUND($E$24/$D$8,2))))</f>
        <v/>
      </c>
      <c r="G177" s="56" t="str">
        <f>IF(A176=$D$8,ROUND(SUM($G$25:G176),2),IF(A177&gt;$D$8,"",IF(T177&lt;&gt;T176,ROUND(SUM(V177*$D$9*E176/T177,W177*$D$9*E176/T176),2),ROUND(E176*$D$9*D177/T176,2))))</f>
        <v/>
      </c>
      <c r="H177" s="56" t="str">
        <f>IF(A176=$D$8,SUM($H$25:H176),IF(A176&gt;$D$8,"",F177+G177))</f>
        <v/>
      </c>
      <c r="I177" s="56" t="str">
        <f t="shared" si="63"/>
        <v/>
      </c>
      <c r="J177" s="56" t="str">
        <f t="shared" si="65"/>
        <v/>
      </c>
      <c r="K177" s="56"/>
      <c r="L177" s="56" t="str">
        <f t="shared" si="64"/>
        <v/>
      </c>
      <c r="M177" s="56" t="str">
        <f t="shared" si="57"/>
        <v/>
      </c>
      <c r="N177" s="56" t="str">
        <f t="shared" si="58"/>
        <v/>
      </c>
      <c r="P177" s="59" t="str">
        <f>IF(A176=$D$8,XIRR(H$24:H176,C$24:C176),"")</f>
        <v/>
      </c>
      <c r="Q177" s="56" t="str">
        <f t="shared" si="56"/>
        <v/>
      </c>
      <c r="R177" s="56">
        <f t="shared" si="53"/>
        <v>0</v>
      </c>
      <c r="S177" s="21" t="e">
        <f t="shared" ca="1" si="54"/>
        <v>#VALUE!</v>
      </c>
      <c r="T177" s="21" t="e">
        <f t="shared" ca="1" si="55"/>
        <v>#VALUE!</v>
      </c>
      <c r="U177" s="21" t="e">
        <f t="shared" ca="1" si="66"/>
        <v>#VALUE!</v>
      </c>
      <c r="V177" s="60" t="e">
        <f t="shared" ca="1" si="67"/>
        <v>#VALUE!</v>
      </c>
      <c r="W177" s="61" t="e">
        <f t="shared" ca="1" si="50"/>
        <v>#VALUE!</v>
      </c>
    </row>
    <row r="178" spans="1:23" x14ac:dyDescent="0.25">
      <c r="A178" s="58" t="str">
        <f t="shared" si="51"/>
        <v/>
      </c>
      <c r="B178" s="55" t="str">
        <f t="shared" si="62"/>
        <v/>
      </c>
      <c r="C178" s="55" t="str">
        <f t="shared" ca="1" si="52"/>
        <v xml:space="preserve"> </v>
      </c>
      <c r="D178" s="58" t="str">
        <f t="shared" si="60"/>
        <v/>
      </c>
      <c r="E178" s="56" t="str">
        <f t="shared" si="61"/>
        <v/>
      </c>
      <c r="F178" s="56" t="str">
        <f>IF(AND(A177="",A179=""),"",IF(A178="",ROUND(SUM($F$25:F177),2),IF(A178=$D$8,$E$24-ROUND(SUM($F$25:F177),2),ROUND($E$24/$D$8,2))))</f>
        <v/>
      </c>
      <c r="G178" s="56" t="str">
        <f>IF(A177=$D$8,ROUND(SUM($G$25:G177),2),IF(A178&gt;$D$8,"",IF(T178&lt;&gt;T177,ROUND(SUM(V178*$D$9*E177/T178,W178*$D$9*E177/T177),2),ROUND(E177*$D$9*D178/T177,2))))</f>
        <v/>
      </c>
      <c r="H178" s="56" t="str">
        <f>IF(A177=$D$8,SUM($H$25:H177),IF(A177&gt;$D$8,"",F178+G178))</f>
        <v/>
      </c>
      <c r="I178" s="56" t="str">
        <f t="shared" si="63"/>
        <v/>
      </c>
      <c r="J178" s="56" t="str">
        <f t="shared" si="65"/>
        <v/>
      </c>
      <c r="K178" s="56"/>
      <c r="L178" s="56" t="str">
        <f t="shared" si="64"/>
        <v/>
      </c>
      <c r="M178" s="56" t="str">
        <f t="shared" si="57"/>
        <v/>
      </c>
      <c r="N178" s="56" t="str">
        <f t="shared" si="58"/>
        <v/>
      </c>
      <c r="P178" s="59" t="str">
        <f>IF(A177=$D$8,XIRR(H$24:H177,C$24:C177),"")</f>
        <v/>
      </c>
      <c r="Q178" s="56" t="str">
        <f t="shared" si="56"/>
        <v/>
      </c>
      <c r="R178" s="56">
        <f t="shared" si="53"/>
        <v>0</v>
      </c>
      <c r="S178" s="21" t="e">
        <f t="shared" ca="1" si="54"/>
        <v>#VALUE!</v>
      </c>
      <c r="T178" s="21" t="e">
        <f t="shared" ca="1" si="55"/>
        <v>#VALUE!</v>
      </c>
      <c r="U178" s="21" t="e">
        <f t="shared" ca="1" si="66"/>
        <v>#VALUE!</v>
      </c>
      <c r="V178" s="60" t="e">
        <f t="shared" ca="1" si="67"/>
        <v>#VALUE!</v>
      </c>
      <c r="W178" s="61" t="e">
        <f t="shared" ca="1" si="50"/>
        <v>#VALUE!</v>
      </c>
    </row>
    <row r="179" spans="1:23" x14ac:dyDescent="0.25">
      <c r="A179" s="58" t="str">
        <f t="shared" si="51"/>
        <v/>
      </c>
      <c r="B179" s="55" t="str">
        <f t="shared" si="62"/>
        <v/>
      </c>
      <c r="C179" s="55" t="str">
        <f t="shared" ca="1" si="52"/>
        <v xml:space="preserve"> </v>
      </c>
      <c r="D179" s="58" t="str">
        <f t="shared" si="60"/>
        <v/>
      </c>
      <c r="E179" s="56" t="str">
        <f t="shared" si="61"/>
        <v/>
      </c>
      <c r="F179" s="56" t="str">
        <f>IF(AND(A178="",A180=""),"",IF(A179="",ROUND(SUM($F$25:F178),2),IF(A179=$D$8,$E$24-ROUND(SUM($F$25:F178),2),ROUND($E$24/$D$8,2))))</f>
        <v/>
      </c>
      <c r="G179" s="56" t="str">
        <f>IF(A178=$D$8,ROUND(SUM($G$25:G178),2),IF(A179&gt;$D$8,"",IF(T179&lt;&gt;T178,ROUND(SUM(V179*$D$9*E178/T179,W179*$D$9*E178/T178),2),ROUND(E178*$D$9*D179/T178,2))))</f>
        <v/>
      </c>
      <c r="H179" s="56" t="str">
        <f>IF(A178=$D$8,SUM($H$25:H178),IF(A178&gt;$D$8,"",F179+G179))</f>
        <v/>
      </c>
      <c r="I179" s="56" t="str">
        <f t="shared" si="63"/>
        <v/>
      </c>
      <c r="J179" s="56" t="str">
        <f t="shared" si="65"/>
        <v/>
      </c>
      <c r="K179" s="56"/>
      <c r="L179" s="56" t="str">
        <f t="shared" si="64"/>
        <v/>
      </c>
      <c r="M179" s="56" t="str">
        <f t="shared" si="57"/>
        <v/>
      </c>
      <c r="N179" s="56" t="str">
        <f t="shared" si="58"/>
        <v/>
      </c>
      <c r="P179" s="59" t="str">
        <f>IF(A178=$D$8,XIRR(H$24:H178,C$24:C178),"")</f>
        <v/>
      </c>
      <c r="Q179" s="56" t="str">
        <f t="shared" si="56"/>
        <v/>
      </c>
      <c r="R179" s="56">
        <f t="shared" si="53"/>
        <v>0</v>
      </c>
      <c r="S179" s="21" t="e">
        <f t="shared" ca="1" si="54"/>
        <v>#VALUE!</v>
      </c>
      <c r="T179" s="21" t="e">
        <f t="shared" ca="1" si="55"/>
        <v>#VALUE!</v>
      </c>
      <c r="U179" s="21" t="e">
        <f t="shared" ca="1" si="66"/>
        <v>#VALUE!</v>
      </c>
      <c r="V179" s="60" t="e">
        <f t="shared" ca="1" si="67"/>
        <v>#VALUE!</v>
      </c>
      <c r="W179" s="61" t="e">
        <f t="shared" ca="1" si="50"/>
        <v>#VALUE!</v>
      </c>
    </row>
    <row r="180" spans="1:23" x14ac:dyDescent="0.25">
      <c r="A180" s="58" t="str">
        <f t="shared" si="51"/>
        <v/>
      </c>
      <c r="B180" s="55" t="str">
        <f t="shared" si="62"/>
        <v/>
      </c>
      <c r="C180" s="55" t="str">
        <f t="shared" ca="1" si="52"/>
        <v xml:space="preserve"> </v>
      </c>
      <c r="D180" s="58" t="str">
        <f t="shared" si="60"/>
        <v/>
      </c>
      <c r="E180" s="56" t="str">
        <f t="shared" si="61"/>
        <v/>
      </c>
      <c r="F180" s="56" t="str">
        <f>IF(AND(A179="",A181=""),"",IF(A180="",ROUND(SUM($F$25:F179),2),IF(A180=$D$8,$E$24-ROUND(SUM($F$25:F179),2),ROUND($E$24/$D$8,2))))</f>
        <v/>
      </c>
      <c r="G180" s="56" t="str">
        <f>IF(A179=$D$8,ROUND(SUM($G$25:G179),2),IF(A180&gt;$D$8,"",IF(T180&lt;&gt;T179,ROUND(SUM(V180*$D$9*E179/T180,W180*$D$9*E179/T179),2),ROUND(E179*$D$9*D180/T179,2))))</f>
        <v/>
      </c>
      <c r="H180" s="56" t="str">
        <f>IF(A179=$D$8,SUM($H$25:H179),IF(A179&gt;$D$8,"",F180+G180))</f>
        <v/>
      </c>
      <c r="I180" s="56" t="str">
        <f t="shared" si="63"/>
        <v/>
      </c>
      <c r="J180" s="56" t="str">
        <f t="shared" si="65"/>
        <v/>
      </c>
      <c r="K180" s="56"/>
      <c r="L180" s="56" t="str">
        <f t="shared" si="64"/>
        <v/>
      </c>
      <c r="M180" s="56" t="str">
        <f t="shared" si="57"/>
        <v/>
      </c>
      <c r="N180" s="56" t="str">
        <f t="shared" si="58"/>
        <v/>
      </c>
      <c r="P180" s="59" t="str">
        <f>IF(A179=$D$8,XIRR(H$24:H179,C$24:C179),"")</f>
        <v/>
      </c>
      <c r="Q180" s="56" t="str">
        <f t="shared" si="56"/>
        <v/>
      </c>
      <c r="R180" s="56">
        <f t="shared" si="53"/>
        <v>0</v>
      </c>
      <c r="S180" s="21" t="e">
        <f t="shared" ca="1" si="54"/>
        <v>#VALUE!</v>
      </c>
      <c r="T180" s="21" t="e">
        <f t="shared" ca="1" si="55"/>
        <v>#VALUE!</v>
      </c>
      <c r="U180" s="21" t="e">
        <f t="shared" ca="1" si="66"/>
        <v>#VALUE!</v>
      </c>
      <c r="V180" s="60" t="e">
        <f t="shared" ca="1" si="67"/>
        <v>#VALUE!</v>
      </c>
      <c r="W180" s="61" t="e">
        <f t="shared" ca="1" si="50"/>
        <v>#VALUE!</v>
      </c>
    </row>
    <row r="181" spans="1:23" x14ac:dyDescent="0.25">
      <c r="A181" s="58" t="str">
        <f t="shared" si="51"/>
        <v/>
      </c>
      <c r="B181" s="55" t="str">
        <f t="shared" si="62"/>
        <v/>
      </c>
      <c r="C181" s="55" t="str">
        <f t="shared" ca="1" si="52"/>
        <v xml:space="preserve"> </v>
      </c>
      <c r="D181" s="58" t="str">
        <f t="shared" si="60"/>
        <v/>
      </c>
      <c r="E181" s="56" t="str">
        <f t="shared" si="61"/>
        <v/>
      </c>
      <c r="F181" s="56" t="str">
        <f>IF(AND(A180="",A182=""),"",IF(A181="",ROUND(SUM($F$25:F180),2),IF(A181=$D$8,$E$24-ROUND(SUM($F$25:F180),2),ROUND($E$24/$D$8,2))))</f>
        <v/>
      </c>
      <c r="G181" s="56" t="str">
        <f>IF(A180=$D$8,ROUND(SUM($G$25:G180),2),IF(A181&gt;$D$8,"",IF(T181&lt;&gt;T180,ROUND(SUM(V181*$D$9*E180/T181,W181*$D$9*E180/T180),2),ROUND(E180*$D$9*D181/T180,2))))</f>
        <v/>
      </c>
      <c r="H181" s="56" t="str">
        <f>IF(A180=$D$8,SUM($H$25:H180),IF(A180&gt;$D$8,"",F181+G181))</f>
        <v/>
      </c>
      <c r="I181" s="56" t="str">
        <f t="shared" si="63"/>
        <v/>
      </c>
      <c r="J181" s="56" t="str">
        <f>IF($D$8&gt;A180,$N$9,IF($D$8=A180,SUM($J$24:J180)," "))</f>
        <v xml:space="preserve"> </v>
      </c>
      <c r="K181" s="56" t="str">
        <f>IF($D$8&gt;A180,($O$8+$N$10*E180),IF(A180=$D$8,$K$37+$K$24+$K$49+$K$61+$K$73+$K$85+$K$97+$K$109+$K$121+$K$133+$K$145+$K$157+$K$169,""))</f>
        <v/>
      </c>
      <c r="L181" s="56" t="str">
        <f t="shared" si="64"/>
        <v/>
      </c>
      <c r="M181" s="56" t="str">
        <f t="shared" si="57"/>
        <v/>
      </c>
      <c r="N181" s="56" t="str">
        <f t="shared" si="58"/>
        <v/>
      </c>
      <c r="P181" s="59" t="str">
        <f>IF(A180=$D$8,XIRR(H$24:H180,C$24:C180),"")</f>
        <v/>
      </c>
      <c r="Q181" s="56" t="str">
        <f t="shared" si="56"/>
        <v/>
      </c>
      <c r="R181" s="56">
        <f t="shared" si="53"/>
        <v>0</v>
      </c>
      <c r="S181" s="21" t="e">
        <f t="shared" ca="1" si="54"/>
        <v>#VALUE!</v>
      </c>
      <c r="T181" s="21" t="e">
        <f t="shared" ca="1" si="55"/>
        <v>#VALUE!</v>
      </c>
      <c r="U181" s="21" t="e">
        <f t="shared" ca="1" si="66"/>
        <v>#VALUE!</v>
      </c>
      <c r="V181" s="60" t="e">
        <f t="shared" ca="1" si="67"/>
        <v>#VALUE!</v>
      </c>
      <c r="W181" s="61" t="e">
        <f t="shared" ca="1" si="50"/>
        <v>#VALUE!</v>
      </c>
    </row>
    <row r="182" spans="1:23" x14ac:dyDescent="0.25">
      <c r="A182" s="58" t="str">
        <f t="shared" si="51"/>
        <v/>
      </c>
      <c r="B182" s="55" t="str">
        <f t="shared" si="62"/>
        <v/>
      </c>
      <c r="C182" s="55" t="str">
        <f t="shared" ca="1" si="52"/>
        <v xml:space="preserve"> </v>
      </c>
      <c r="D182" s="58" t="str">
        <f t="shared" si="60"/>
        <v/>
      </c>
      <c r="E182" s="56" t="str">
        <f t="shared" si="61"/>
        <v/>
      </c>
      <c r="F182" s="56" t="str">
        <f>IF(AND(A181="",A183=""),"",IF(A182="",ROUND(SUM($F$25:F181),2),IF(A182=$D$8,$E$24-ROUND(SUM($F$25:F181),2),ROUND($E$24/$D$8,2))))</f>
        <v/>
      </c>
      <c r="G182" s="56" t="str">
        <f>IF(A181=$D$8,ROUND(SUM($G$25:G181),2),IF(A182&gt;$D$8,"",IF(T182&lt;&gt;T181,ROUND(SUM(V182*$D$9*E181/T182,W182*$D$9*E181/T181),2),ROUND(E181*$D$9*D182/T181,2))))</f>
        <v/>
      </c>
      <c r="H182" s="56" t="str">
        <f>IF(A181=$D$8,SUM($H$25:H181),IF(A181&gt;$D$8,"",F182+G182))</f>
        <v/>
      </c>
      <c r="I182" s="56" t="str">
        <f t="shared" si="63"/>
        <v/>
      </c>
      <c r="J182" s="56" t="str">
        <f t="shared" ref="J182:J192" si="68">IF(A181=$D$8,$J$24,"")</f>
        <v/>
      </c>
      <c r="K182" s="56"/>
      <c r="L182" s="56" t="str">
        <f t="shared" si="64"/>
        <v/>
      </c>
      <c r="M182" s="56" t="str">
        <f t="shared" si="57"/>
        <v/>
      </c>
      <c r="N182" s="56" t="str">
        <f t="shared" si="58"/>
        <v/>
      </c>
      <c r="P182" s="59" t="str">
        <f>IF(A181=$D$8,XIRR(H$24:H181,C$24:C181),"")</f>
        <v/>
      </c>
      <c r="Q182" s="56" t="str">
        <f t="shared" si="56"/>
        <v/>
      </c>
      <c r="R182" s="56">
        <f t="shared" si="53"/>
        <v>0</v>
      </c>
      <c r="S182" s="21" t="e">
        <f t="shared" ca="1" si="54"/>
        <v>#VALUE!</v>
      </c>
      <c r="T182" s="21" t="e">
        <f t="shared" ca="1" si="55"/>
        <v>#VALUE!</v>
      </c>
      <c r="U182" s="21" t="e">
        <f t="shared" ca="1" si="66"/>
        <v>#VALUE!</v>
      </c>
      <c r="V182" s="60" t="e">
        <f t="shared" ca="1" si="67"/>
        <v>#VALUE!</v>
      </c>
      <c r="W182" s="61" t="e">
        <f t="shared" ca="1" si="50"/>
        <v>#VALUE!</v>
      </c>
    </row>
    <row r="183" spans="1:23" x14ac:dyDescent="0.25">
      <c r="A183" s="58" t="str">
        <f t="shared" si="51"/>
        <v/>
      </c>
      <c r="B183" s="55" t="str">
        <f t="shared" si="62"/>
        <v/>
      </c>
      <c r="C183" s="55" t="str">
        <f t="shared" ca="1" si="52"/>
        <v xml:space="preserve"> </v>
      </c>
      <c r="D183" s="58" t="str">
        <f t="shared" si="60"/>
        <v/>
      </c>
      <c r="E183" s="56" t="str">
        <f t="shared" si="61"/>
        <v/>
      </c>
      <c r="F183" s="56" t="str">
        <f>IF(AND(A182="",A184=""),"",IF(A183="",ROUND(SUM($F$25:F182),2),IF(A183=$D$8,$E$24-ROUND(SUM($F$25:F182),2),ROUND($E$24/$D$8,2))))</f>
        <v/>
      </c>
      <c r="G183" s="56" t="str">
        <f>IF(A182=$D$8,ROUND(SUM($G$25:G182),2),IF(A183&gt;$D$8,"",IF(T183&lt;&gt;T182,ROUND(SUM(V183*$D$9*E182/T183,W183*$D$9*E182/T182),2),ROUND(E182*$D$9*D183/T182,2))))</f>
        <v/>
      </c>
      <c r="H183" s="56" t="str">
        <f>IF(A182=$D$8,SUM($H$25:H182),IF(A182&gt;$D$8,"",F183+G183))</f>
        <v/>
      </c>
      <c r="I183" s="56" t="str">
        <f t="shared" si="63"/>
        <v/>
      </c>
      <c r="J183" s="56" t="str">
        <f t="shared" si="68"/>
        <v/>
      </c>
      <c r="K183" s="56"/>
      <c r="L183" s="56" t="str">
        <f t="shared" si="64"/>
        <v/>
      </c>
      <c r="M183" s="56" t="str">
        <f t="shared" si="57"/>
        <v/>
      </c>
      <c r="N183" s="56" t="str">
        <f t="shared" si="58"/>
        <v/>
      </c>
      <c r="P183" s="59" t="str">
        <f>IF(A182=$D$8,XIRR(H$24:H182,C$24:C182),"")</f>
        <v/>
      </c>
      <c r="Q183" s="56" t="str">
        <f t="shared" si="56"/>
        <v/>
      </c>
      <c r="R183" s="56">
        <f t="shared" si="53"/>
        <v>0</v>
      </c>
      <c r="S183" s="21" t="e">
        <f t="shared" ca="1" si="54"/>
        <v>#VALUE!</v>
      </c>
      <c r="T183" s="21" t="e">
        <f t="shared" ca="1" si="55"/>
        <v>#VALUE!</v>
      </c>
      <c r="U183" s="21" t="e">
        <f t="shared" ca="1" si="66"/>
        <v>#VALUE!</v>
      </c>
      <c r="V183" s="60" t="e">
        <f t="shared" ca="1" si="67"/>
        <v>#VALUE!</v>
      </c>
      <c r="W183" s="61" t="e">
        <f t="shared" ca="1" si="50"/>
        <v>#VALUE!</v>
      </c>
    </row>
    <row r="184" spans="1:23" x14ac:dyDescent="0.25">
      <c r="A184" s="58" t="str">
        <f t="shared" si="51"/>
        <v/>
      </c>
      <c r="B184" s="55" t="str">
        <f t="shared" si="62"/>
        <v/>
      </c>
      <c r="C184" s="55" t="str">
        <f t="shared" ca="1" si="52"/>
        <v xml:space="preserve"> </v>
      </c>
      <c r="D184" s="58" t="str">
        <f t="shared" si="60"/>
        <v/>
      </c>
      <c r="E184" s="56" t="str">
        <f t="shared" si="61"/>
        <v/>
      </c>
      <c r="F184" s="56" t="str">
        <f>IF(AND(A183="",A185=""),"",IF(A184="",ROUND(SUM($F$25:F183),2),IF(A184=$D$8,$E$24-ROUND(SUM($F$25:F183),2),ROUND($E$24/$D$8,2))))</f>
        <v/>
      </c>
      <c r="G184" s="56" t="str">
        <f>IF(A183=$D$8,ROUND(SUM($G$25:G183),2),IF(A184&gt;$D$8,"",IF(T184&lt;&gt;T183,ROUND(SUM(V184*$D$9*E183/T184,W184*$D$9*E183/T183),2),ROUND(E183*$D$9*D184/T183,2))))</f>
        <v/>
      </c>
      <c r="H184" s="56" t="str">
        <f>IF(A183=$D$8,SUM($H$25:H183),IF(A183&gt;$D$8,"",F184+G184))</f>
        <v/>
      </c>
      <c r="I184" s="56" t="str">
        <f t="shared" si="63"/>
        <v/>
      </c>
      <c r="J184" s="56" t="str">
        <f t="shared" si="68"/>
        <v/>
      </c>
      <c r="K184" s="56"/>
      <c r="L184" s="56" t="str">
        <f t="shared" si="64"/>
        <v/>
      </c>
      <c r="M184" s="56" t="str">
        <f t="shared" si="57"/>
        <v/>
      </c>
      <c r="N184" s="56" t="str">
        <f t="shared" si="58"/>
        <v/>
      </c>
      <c r="P184" s="59" t="str">
        <f>IF(A183=$D$8,XIRR(H$24:H183,C$24:C183),"")</f>
        <v/>
      </c>
      <c r="Q184" s="56" t="str">
        <f t="shared" si="56"/>
        <v/>
      </c>
      <c r="R184" s="56">
        <f t="shared" si="53"/>
        <v>0</v>
      </c>
      <c r="S184" s="21" t="e">
        <f t="shared" ca="1" si="54"/>
        <v>#VALUE!</v>
      </c>
      <c r="T184" s="21" t="e">
        <f t="shared" ca="1" si="55"/>
        <v>#VALUE!</v>
      </c>
      <c r="U184" s="21" t="e">
        <f t="shared" ca="1" si="66"/>
        <v>#VALUE!</v>
      </c>
      <c r="V184" s="60" t="e">
        <f t="shared" ca="1" si="67"/>
        <v>#VALUE!</v>
      </c>
      <c r="W184" s="61" t="e">
        <f t="shared" ca="1" si="50"/>
        <v>#VALUE!</v>
      </c>
    </row>
    <row r="185" spans="1:23" x14ac:dyDescent="0.25">
      <c r="A185" s="58" t="str">
        <f t="shared" si="51"/>
        <v/>
      </c>
      <c r="B185" s="55" t="str">
        <f t="shared" si="62"/>
        <v/>
      </c>
      <c r="C185" s="55" t="str">
        <f t="shared" ca="1" si="52"/>
        <v xml:space="preserve"> </v>
      </c>
      <c r="D185" s="58" t="str">
        <f t="shared" si="60"/>
        <v/>
      </c>
      <c r="E185" s="56" t="str">
        <f t="shared" si="61"/>
        <v/>
      </c>
      <c r="F185" s="56" t="str">
        <f>IF(AND(A184="",A186=""),"",IF(A185="",ROUND(SUM($F$25:F184),2),IF(A185=$D$8,$E$24-ROUND(SUM($F$25:F184),2),ROUND($E$24/$D$8,2))))</f>
        <v/>
      </c>
      <c r="G185" s="56" t="str">
        <f>IF(A184=$D$8,ROUND(SUM($G$25:G184),2),IF(A185&gt;$D$8,"",IF(T185&lt;&gt;T184,ROUND(SUM(V185*$D$9*E184/T185,W185*$D$9*E184/T184),2),ROUND(E184*$D$9*D185/T184,2))))</f>
        <v/>
      </c>
      <c r="H185" s="56" t="str">
        <f>IF(A184=$D$8,SUM($H$25:H184),IF(A184&gt;$D$8,"",F185+G185))</f>
        <v/>
      </c>
      <c r="I185" s="56" t="str">
        <f t="shared" si="63"/>
        <v/>
      </c>
      <c r="J185" s="56" t="str">
        <f t="shared" si="68"/>
        <v/>
      </c>
      <c r="K185" s="56"/>
      <c r="L185" s="56" t="str">
        <f t="shared" si="64"/>
        <v/>
      </c>
      <c r="M185" s="56" t="str">
        <f t="shared" si="57"/>
        <v/>
      </c>
      <c r="N185" s="56" t="str">
        <f t="shared" si="58"/>
        <v/>
      </c>
      <c r="P185" s="59" t="str">
        <f>IF(A184=$D$8,XIRR(H$24:H184,C$24:C184),"")</f>
        <v/>
      </c>
      <c r="Q185" s="56" t="str">
        <f t="shared" si="56"/>
        <v/>
      </c>
      <c r="R185" s="56">
        <f t="shared" si="53"/>
        <v>0</v>
      </c>
      <c r="S185" s="21" t="e">
        <f t="shared" ca="1" si="54"/>
        <v>#VALUE!</v>
      </c>
      <c r="T185" s="21" t="e">
        <f t="shared" ca="1" si="55"/>
        <v>#VALUE!</v>
      </c>
      <c r="U185" s="21" t="e">
        <f t="shared" ca="1" si="66"/>
        <v>#VALUE!</v>
      </c>
      <c r="V185" s="60" t="e">
        <f t="shared" ca="1" si="67"/>
        <v>#VALUE!</v>
      </c>
      <c r="W185" s="61" t="e">
        <f t="shared" ca="1" si="50"/>
        <v>#VALUE!</v>
      </c>
    </row>
    <row r="186" spans="1:23" x14ac:dyDescent="0.25">
      <c r="A186" s="58" t="str">
        <f t="shared" si="51"/>
        <v/>
      </c>
      <c r="B186" s="55" t="str">
        <f t="shared" si="62"/>
        <v/>
      </c>
      <c r="C186" s="55" t="str">
        <f t="shared" ca="1" si="52"/>
        <v xml:space="preserve"> </v>
      </c>
      <c r="D186" s="58" t="str">
        <f t="shared" si="60"/>
        <v/>
      </c>
      <c r="E186" s="56" t="str">
        <f t="shared" si="61"/>
        <v/>
      </c>
      <c r="F186" s="56" t="str">
        <f>IF(AND(A185="",A187=""),"",IF(A186="",ROUND(SUM($F$25:F185),2),IF(A186=$D$8,$E$24-ROUND(SUM($F$25:F185),2),ROUND($E$24/$D$8,2))))</f>
        <v/>
      </c>
      <c r="G186" s="56" t="str">
        <f>IF(A185=$D$8,ROUND(SUM($G$25:G185),2),IF(A186&gt;$D$8,"",IF(T186&lt;&gt;T185,ROUND(SUM(V186*$D$9*E185/T186,W186*$D$9*E185/T185),2),ROUND(E185*$D$9*D186/T185,2))))</f>
        <v/>
      </c>
      <c r="H186" s="56" t="str">
        <f>IF(A185=$D$8,SUM($H$25:H185),IF(A185&gt;$D$8,"",F186+G186))</f>
        <v/>
      </c>
      <c r="I186" s="56" t="str">
        <f t="shared" si="63"/>
        <v/>
      </c>
      <c r="J186" s="56" t="str">
        <f t="shared" si="68"/>
        <v/>
      </c>
      <c r="K186" s="56"/>
      <c r="L186" s="56" t="str">
        <f t="shared" si="64"/>
        <v/>
      </c>
      <c r="M186" s="56" t="str">
        <f t="shared" si="57"/>
        <v/>
      </c>
      <c r="N186" s="56" t="str">
        <f t="shared" si="58"/>
        <v/>
      </c>
      <c r="P186" s="59" t="str">
        <f>IF(A185=$D$8,XIRR(H$24:H185,C$24:C185),"")</f>
        <v/>
      </c>
      <c r="Q186" s="56" t="str">
        <f t="shared" si="56"/>
        <v/>
      </c>
      <c r="R186" s="56">
        <f t="shared" si="53"/>
        <v>0</v>
      </c>
      <c r="S186" s="21" t="e">
        <f t="shared" ca="1" si="54"/>
        <v>#VALUE!</v>
      </c>
      <c r="T186" s="21" t="e">
        <f t="shared" ca="1" si="55"/>
        <v>#VALUE!</v>
      </c>
      <c r="U186" s="21" t="e">
        <f t="shared" ca="1" si="66"/>
        <v>#VALUE!</v>
      </c>
      <c r="V186" s="60" t="e">
        <f t="shared" ca="1" si="67"/>
        <v>#VALUE!</v>
      </c>
      <c r="W186" s="61" t="e">
        <f t="shared" ca="1" si="50"/>
        <v>#VALUE!</v>
      </c>
    </row>
    <row r="187" spans="1:23" x14ac:dyDescent="0.25">
      <c r="A187" s="58" t="str">
        <f t="shared" si="51"/>
        <v/>
      </c>
      <c r="B187" s="55" t="str">
        <f t="shared" si="62"/>
        <v/>
      </c>
      <c r="C187" s="55" t="str">
        <f t="shared" ca="1" si="52"/>
        <v xml:space="preserve"> </v>
      </c>
      <c r="D187" s="58" t="str">
        <f t="shared" si="60"/>
        <v/>
      </c>
      <c r="E187" s="56" t="str">
        <f t="shared" si="61"/>
        <v/>
      </c>
      <c r="F187" s="56" t="str">
        <f>IF(AND(A186="",A188=""),"",IF(A187="",ROUND(SUM($F$25:F186),2),IF(A187=$D$8,$E$24-ROUND(SUM($F$25:F186),2),ROUND($E$24/$D$8,2))))</f>
        <v/>
      </c>
      <c r="G187" s="56" t="str">
        <f>IF(A186=$D$8,ROUND(SUM($G$25:G186),2),IF(A187&gt;$D$8,"",IF(T187&lt;&gt;T186,ROUND(SUM(V187*$D$9*E186/T187,W187*$D$9*E186/T186),2),ROUND(E186*$D$9*D187/T186,2))))</f>
        <v/>
      </c>
      <c r="H187" s="56" t="str">
        <f>IF(A186=$D$8,SUM($H$25:H186),IF(A186&gt;$D$8,"",F187+G187))</f>
        <v/>
      </c>
      <c r="I187" s="56" t="str">
        <f t="shared" si="63"/>
        <v/>
      </c>
      <c r="J187" s="56" t="str">
        <f t="shared" si="68"/>
        <v/>
      </c>
      <c r="K187" s="56"/>
      <c r="L187" s="56" t="str">
        <f t="shared" si="64"/>
        <v/>
      </c>
      <c r="M187" s="56" t="str">
        <f t="shared" si="57"/>
        <v/>
      </c>
      <c r="N187" s="56" t="str">
        <f t="shared" si="58"/>
        <v/>
      </c>
      <c r="P187" s="59" t="str">
        <f>IF(A186=$D$8,XIRR(H$24:H186,C$24:C186),"")</f>
        <v/>
      </c>
      <c r="Q187" s="56" t="str">
        <f t="shared" si="56"/>
        <v/>
      </c>
      <c r="R187" s="56">
        <f t="shared" si="53"/>
        <v>0</v>
      </c>
      <c r="S187" s="21" t="e">
        <f t="shared" ca="1" si="54"/>
        <v>#VALUE!</v>
      </c>
      <c r="T187" s="21" t="e">
        <f t="shared" ca="1" si="55"/>
        <v>#VALUE!</v>
      </c>
      <c r="U187" s="21" t="e">
        <f t="shared" ca="1" si="66"/>
        <v>#VALUE!</v>
      </c>
      <c r="V187" s="60" t="e">
        <f t="shared" ca="1" si="67"/>
        <v>#VALUE!</v>
      </c>
      <c r="W187" s="61" t="e">
        <f t="shared" ca="1" si="50"/>
        <v>#VALUE!</v>
      </c>
    </row>
    <row r="188" spans="1:23" x14ac:dyDescent="0.25">
      <c r="A188" s="58" t="str">
        <f t="shared" si="51"/>
        <v/>
      </c>
      <c r="B188" s="55" t="str">
        <f t="shared" si="62"/>
        <v/>
      </c>
      <c r="C188" s="55" t="str">
        <f t="shared" ca="1" si="52"/>
        <v xml:space="preserve"> </v>
      </c>
      <c r="D188" s="58" t="str">
        <f t="shared" si="60"/>
        <v/>
      </c>
      <c r="E188" s="56" t="str">
        <f t="shared" si="61"/>
        <v/>
      </c>
      <c r="F188" s="56" t="str">
        <f>IF(AND(A187="",A189=""),"",IF(A188="",ROUND(SUM($F$25:F187),2),IF(A188=$D$8,$E$24-ROUND(SUM($F$25:F187),2),ROUND($E$24/$D$8,2))))</f>
        <v/>
      </c>
      <c r="G188" s="56" t="str">
        <f>IF(A187=$D$8,ROUND(SUM($G$25:G187),2),IF(A188&gt;$D$8,"",IF(T188&lt;&gt;T187,ROUND(SUM(V188*$D$9*E187/T188,W188*$D$9*E187/T187),2),ROUND(E187*$D$9*D188/T187,2))))</f>
        <v/>
      </c>
      <c r="H188" s="56" t="str">
        <f>IF(A187=$D$8,SUM($H$25:H187),IF(A187&gt;$D$8,"",F188+G188))</f>
        <v/>
      </c>
      <c r="I188" s="56" t="str">
        <f t="shared" si="63"/>
        <v/>
      </c>
      <c r="J188" s="56" t="str">
        <f t="shared" si="68"/>
        <v/>
      </c>
      <c r="K188" s="56"/>
      <c r="L188" s="56" t="str">
        <f t="shared" si="64"/>
        <v/>
      </c>
      <c r="M188" s="56" t="str">
        <f t="shared" si="57"/>
        <v/>
      </c>
      <c r="N188" s="56" t="str">
        <f t="shared" si="58"/>
        <v/>
      </c>
      <c r="P188" s="59" t="str">
        <f>IF(A187=$D$8,XIRR(H$24:H187,C$24:C187),"")</f>
        <v/>
      </c>
      <c r="Q188" s="56" t="str">
        <f t="shared" si="56"/>
        <v/>
      </c>
      <c r="R188" s="56">
        <f t="shared" si="53"/>
        <v>0</v>
      </c>
      <c r="S188" s="21" t="e">
        <f t="shared" ca="1" si="54"/>
        <v>#VALUE!</v>
      </c>
      <c r="T188" s="21" t="e">
        <f t="shared" ca="1" si="55"/>
        <v>#VALUE!</v>
      </c>
      <c r="U188" s="21" t="e">
        <f t="shared" ca="1" si="66"/>
        <v>#VALUE!</v>
      </c>
      <c r="V188" s="60" t="e">
        <f t="shared" ca="1" si="67"/>
        <v>#VALUE!</v>
      </c>
      <c r="W188" s="61" t="e">
        <f t="shared" ca="1" si="50"/>
        <v>#VALUE!</v>
      </c>
    </row>
    <row r="189" spans="1:23" x14ac:dyDescent="0.25">
      <c r="A189" s="58" t="str">
        <f t="shared" si="51"/>
        <v/>
      </c>
      <c r="B189" s="55" t="str">
        <f t="shared" si="62"/>
        <v/>
      </c>
      <c r="C189" s="55" t="str">
        <f t="shared" ca="1" si="52"/>
        <v xml:space="preserve"> </v>
      </c>
      <c r="D189" s="58" t="str">
        <f t="shared" si="60"/>
        <v/>
      </c>
      <c r="E189" s="56" t="str">
        <f t="shared" si="61"/>
        <v/>
      </c>
      <c r="F189" s="56" t="str">
        <f>IF(AND(A188="",A190=""),"",IF(A189="",ROUND(SUM($F$25:F188),2),IF(A189=$D$8,$E$24-ROUND(SUM($F$25:F188),2),ROUND($E$24/$D$8,2))))</f>
        <v/>
      </c>
      <c r="G189" s="56" t="str">
        <f>IF(A188=$D$8,ROUND(SUM($G$25:G188),2),IF(A189&gt;$D$8,"",IF(T189&lt;&gt;T188,ROUND(SUM(V189*$D$9*E188/T189,W189*$D$9*E188/T188),2),ROUND(E188*$D$9*D189/T188,2))))</f>
        <v/>
      </c>
      <c r="H189" s="56" t="str">
        <f>IF(A188=$D$8,SUM($H$25:H188),IF(A188&gt;$D$8,"",F189+G189))</f>
        <v/>
      </c>
      <c r="I189" s="56" t="str">
        <f t="shared" si="63"/>
        <v/>
      </c>
      <c r="J189" s="56" t="str">
        <f t="shared" si="68"/>
        <v/>
      </c>
      <c r="K189" s="56"/>
      <c r="L189" s="56" t="str">
        <f t="shared" si="64"/>
        <v/>
      </c>
      <c r="M189" s="56" t="str">
        <f t="shared" si="57"/>
        <v/>
      </c>
      <c r="N189" s="56" t="str">
        <f t="shared" si="58"/>
        <v/>
      </c>
      <c r="P189" s="59" t="str">
        <f>IF(A188=$D$8,XIRR(H$24:H188,C$24:C188),"")</f>
        <v/>
      </c>
      <c r="Q189" s="56" t="str">
        <f t="shared" si="56"/>
        <v/>
      </c>
      <c r="R189" s="56">
        <f t="shared" si="53"/>
        <v>0</v>
      </c>
      <c r="S189" s="21" t="e">
        <f t="shared" ca="1" si="54"/>
        <v>#VALUE!</v>
      </c>
      <c r="T189" s="21" t="e">
        <f t="shared" ca="1" si="55"/>
        <v>#VALUE!</v>
      </c>
      <c r="U189" s="21" t="e">
        <f t="shared" ca="1" si="66"/>
        <v>#VALUE!</v>
      </c>
      <c r="V189" s="60" t="e">
        <f t="shared" ca="1" si="67"/>
        <v>#VALUE!</v>
      </c>
      <c r="W189" s="61" t="e">
        <f t="shared" ca="1" si="50"/>
        <v>#VALUE!</v>
      </c>
    </row>
    <row r="190" spans="1:23" x14ac:dyDescent="0.25">
      <c r="A190" s="58" t="str">
        <f t="shared" si="51"/>
        <v/>
      </c>
      <c r="B190" s="55" t="str">
        <f t="shared" si="62"/>
        <v/>
      </c>
      <c r="C190" s="55" t="str">
        <f t="shared" ca="1" si="52"/>
        <v xml:space="preserve"> </v>
      </c>
      <c r="D190" s="58" t="str">
        <f t="shared" si="60"/>
        <v/>
      </c>
      <c r="E190" s="56" t="str">
        <f t="shared" si="61"/>
        <v/>
      </c>
      <c r="F190" s="56" t="str">
        <f>IF(AND(A189="",A191=""),"",IF(A190="",ROUND(SUM($F$25:F189),2),IF(A190=$D$8,$E$24-ROUND(SUM($F$25:F189),2),ROUND($E$24/$D$8,2))))</f>
        <v/>
      </c>
      <c r="G190" s="56" t="str">
        <f>IF(A189=$D$8,ROUND(SUM($G$25:G189),2),IF(A190&gt;$D$8,"",IF(T190&lt;&gt;T189,ROUND(SUM(V190*$D$9*E189/T190,W190*$D$9*E189/T189),2),ROUND(E189*$D$9*D190/T189,2))))</f>
        <v/>
      </c>
      <c r="H190" s="56" t="str">
        <f>IF(A189=$D$8,SUM($H$25:H189),IF(A189&gt;$D$8,"",F190+G190))</f>
        <v/>
      </c>
      <c r="I190" s="56" t="str">
        <f t="shared" si="63"/>
        <v/>
      </c>
      <c r="J190" s="56" t="str">
        <f t="shared" si="68"/>
        <v/>
      </c>
      <c r="K190" s="56"/>
      <c r="L190" s="56" t="str">
        <f t="shared" si="64"/>
        <v/>
      </c>
      <c r="M190" s="56" t="str">
        <f t="shared" si="57"/>
        <v/>
      </c>
      <c r="N190" s="56" t="str">
        <f t="shared" si="58"/>
        <v/>
      </c>
      <c r="P190" s="59" t="str">
        <f>IF(A189=$D$8,XIRR(H$24:H189,C$24:C189),"")</f>
        <v/>
      </c>
      <c r="Q190" s="56" t="str">
        <f t="shared" si="56"/>
        <v/>
      </c>
      <c r="R190" s="56">
        <f t="shared" si="53"/>
        <v>0</v>
      </c>
      <c r="S190" s="21" t="e">
        <f t="shared" ca="1" si="54"/>
        <v>#VALUE!</v>
      </c>
      <c r="T190" s="21" t="e">
        <f t="shared" ca="1" si="55"/>
        <v>#VALUE!</v>
      </c>
      <c r="U190" s="21" t="e">
        <f t="shared" ca="1" si="66"/>
        <v>#VALUE!</v>
      </c>
      <c r="V190" s="60" t="e">
        <f t="shared" ca="1" si="67"/>
        <v>#VALUE!</v>
      </c>
      <c r="W190" s="61" t="e">
        <f t="shared" ca="1" si="50"/>
        <v>#VALUE!</v>
      </c>
    </row>
    <row r="191" spans="1:23" x14ac:dyDescent="0.25">
      <c r="A191" s="58" t="str">
        <f t="shared" si="51"/>
        <v/>
      </c>
      <c r="B191" s="55" t="str">
        <f t="shared" si="62"/>
        <v/>
      </c>
      <c r="C191" s="55" t="str">
        <f t="shared" ca="1" si="52"/>
        <v xml:space="preserve"> </v>
      </c>
      <c r="D191" s="58" t="str">
        <f t="shared" si="60"/>
        <v/>
      </c>
      <c r="E191" s="56" t="str">
        <f t="shared" si="61"/>
        <v/>
      </c>
      <c r="F191" s="56" t="str">
        <f>IF(AND(A190="",A192=""),"",IF(A191="",ROUND(SUM($F$25:F190),2),IF(A191=$D$8,$E$24-ROUND(SUM($F$25:F190),2),ROUND($E$24/$D$8,2))))</f>
        <v/>
      </c>
      <c r="G191" s="56" t="str">
        <f>IF(A190=$D$8,ROUND(SUM($G$25:G190),2),IF(A191&gt;$D$8,"",IF(T191&lt;&gt;T190,ROUND(SUM(V191*$D$9*E190/T191,W191*$D$9*E190/T190),2),ROUND(E190*$D$9*D191/T190,2))))</f>
        <v/>
      </c>
      <c r="H191" s="56" t="str">
        <f>IF(A190=$D$8,SUM($H$25:H190),IF(A190&gt;$D$8,"",F191+G191))</f>
        <v/>
      </c>
      <c r="I191" s="56" t="str">
        <f t="shared" si="63"/>
        <v/>
      </c>
      <c r="J191" s="56" t="str">
        <f t="shared" si="68"/>
        <v/>
      </c>
      <c r="K191" s="56"/>
      <c r="L191" s="56" t="str">
        <f t="shared" si="64"/>
        <v/>
      </c>
      <c r="M191" s="56" t="str">
        <f t="shared" si="57"/>
        <v/>
      </c>
      <c r="N191" s="56" t="str">
        <f t="shared" si="58"/>
        <v/>
      </c>
      <c r="P191" s="59" t="str">
        <f>IF(A190=$D$8,XIRR(H$24:H190,C$24:C190),"")</f>
        <v/>
      </c>
      <c r="Q191" s="56" t="str">
        <f t="shared" si="56"/>
        <v/>
      </c>
      <c r="R191" s="56">
        <f t="shared" si="53"/>
        <v>0</v>
      </c>
      <c r="S191" s="21" t="e">
        <f t="shared" ca="1" si="54"/>
        <v>#VALUE!</v>
      </c>
      <c r="T191" s="21" t="e">
        <f t="shared" ca="1" si="55"/>
        <v>#VALUE!</v>
      </c>
      <c r="U191" s="21" t="e">
        <f t="shared" ca="1" si="66"/>
        <v>#VALUE!</v>
      </c>
      <c r="V191" s="60" t="e">
        <f t="shared" ca="1" si="67"/>
        <v>#VALUE!</v>
      </c>
      <c r="W191" s="61" t="e">
        <f t="shared" ca="1" si="50"/>
        <v>#VALUE!</v>
      </c>
    </row>
    <row r="192" spans="1:23" x14ac:dyDescent="0.25">
      <c r="A192" s="58" t="str">
        <f t="shared" si="51"/>
        <v/>
      </c>
      <c r="B192" s="55" t="str">
        <f t="shared" si="62"/>
        <v/>
      </c>
      <c r="C192" s="55" t="str">
        <f t="shared" ca="1" si="52"/>
        <v xml:space="preserve"> </v>
      </c>
      <c r="D192" s="58" t="str">
        <f t="shared" si="60"/>
        <v/>
      </c>
      <c r="E192" s="56" t="str">
        <f t="shared" si="61"/>
        <v/>
      </c>
      <c r="F192" s="56" t="str">
        <f>IF(AND(A191="",A193=""),"",IF(A192="",ROUND(SUM($F$25:F191),2),IF(A192=$D$8,$E$24-ROUND(SUM($F$25:F191),2),ROUND($E$24/$D$8,2))))</f>
        <v/>
      </c>
      <c r="G192" s="56" t="str">
        <f>IF(A191=$D$8,ROUND(SUM($G$25:G191),2),IF(A192&gt;$D$8,"",IF(T192&lt;&gt;T191,ROUND(SUM(V192*$D$9*E191/T192,W192*$D$9*E191/T191),2),ROUND(E191*$D$9*D192/T191,2))))</f>
        <v/>
      </c>
      <c r="H192" s="56" t="str">
        <f>IF(A191=$D$8,SUM($H$25:H191),IF(A191&gt;$D$8,"",F192+G192))</f>
        <v/>
      </c>
      <c r="I192" s="56" t="str">
        <f t="shared" si="63"/>
        <v/>
      </c>
      <c r="J192" s="56" t="str">
        <f t="shared" si="68"/>
        <v/>
      </c>
      <c r="K192" s="56"/>
      <c r="L192" s="56" t="str">
        <f t="shared" si="64"/>
        <v/>
      </c>
      <c r="M192" s="56" t="str">
        <f t="shared" si="57"/>
        <v/>
      </c>
      <c r="N192" s="56" t="str">
        <f t="shared" si="58"/>
        <v/>
      </c>
      <c r="P192" s="59" t="str">
        <f>IF(A191=$D$8,XIRR(H$24:H191,C$24:C191),"")</f>
        <v/>
      </c>
      <c r="Q192" s="56" t="str">
        <f t="shared" si="56"/>
        <v/>
      </c>
      <c r="R192" s="56">
        <f t="shared" si="53"/>
        <v>0</v>
      </c>
      <c r="S192" s="21" t="e">
        <f t="shared" ca="1" si="54"/>
        <v>#VALUE!</v>
      </c>
      <c r="T192" s="21" t="e">
        <f t="shared" ca="1" si="55"/>
        <v>#VALUE!</v>
      </c>
      <c r="U192" s="21" t="e">
        <f t="shared" ca="1" si="66"/>
        <v>#VALUE!</v>
      </c>
      <c r="V192" s="60" t="e">
        <f t="shared" ca="1" si="67"/>
        <v>#VALUE!</v>
      </c>
      <c r="W192" s="61" t="e">
        <f t="shared" ca="1" si="50"/>
        <v>#VALUE!</v>
      </c>
    </row>
    <row r="193" spans="1:23" x14ac:dyDescent="0.25">
      <c r="A193" s="58" t="str">
        <f t="shared" si="51"/>
        <v/>
      </c>
      <c r="B193" s="55" t="str">
        <f t="shared" si="62"/>
        <v/>
      </c>
      <c r="C193" s="55" t="str">
        <f t="shared" ca="1" si="52"/>
        <v xml:space="preserve"> </v>
      </c>
      <c r="D193" s="58" t="str">
        <f t="shared" si="60"/>
        <v/>
      </c>
      <c r="E193" s="56" t="str">
        <f t="shared" si="61"/>
        <v/>
      </c>
      <c r="F193" s="56" t="str">
        <f>IF(AND(A192="",A194=""),"",IF(A193="",ROUND(SUM($F$25:F192),2),IF(A193=$D$8,$E$24-ROUND(SUM($F$25:F192),2),ROUND($E$24/$D$8,2))))</f>
        <v/>
      </c>
      <c r="G193" s="56" t="str">
        <f>IF(A192=$D$8,ROUND(SUM($G$25:G192),2),IF(A193&gt;$D$8,"",IF(T193&lt;&gt;T192,ROUND(SUM(V193*$D$9*E192/T193,W193*$D$9*E192/T192),2),ROUND(E192*$D$9*D193/T192,2))))</f>
        <v/>
      </c>
      <c r="H193" s="56" t="str">
        <f>IF(A192=$D$8,SUM($H$25:H192),IF(A192&gt;$D$8,"",F193+G193))</f>
        <v/>
      </c>
      <c r="I193" s="56" t="str">
        <f t="shared" si="63"/>
        <v/>
      </c>
      <c r="J193" s="56" t="str">
        <f>IF($D$8&gt;A192,$N$9,IF($D$8=A192,SUM($J$24:J192)," "))</f>
        <v xml:space="preserve"> </v>
      </c>
      <c r="K193" s="56" t="str">
        <f>IF($D$8&gt;A192,($O$8+$N$10*E192),IF(A192=$D$8,$K$37+$K$24+$K$49+$K$61+$K$73+$K$85+$K$97+$K$109+$K$121+$K$133+$K$145+$K$157+$K$169+$K$181,""))</f>
        <v/>
      </c>
      <c r="L193" s="56" t="str">
        <f t="shared" si="64"/>
        <v/>
      </c>
      <c r="M193" s="56" t="str">
        <f t="shared" si="57"/>
        <v/>
      </c>
      <c r="N193" s="56" t="str">
        <f t="shared" si="58"/>
        <v/>
      </c>
      <c r="P193" s="59" t="str">
        <f>IF(A192=$D$8,XIRR(H$24:H192,C$24:C192),"")</f>
        <v/>
      </c>
      <c r="Q193" s="56" t="str">
        <f t="shared" si="56"/>
        <v/>
      </c>
      <c r="R193" s="56">
        <f t="shared" si="53"/>
        <v>0</v>
      </c>
      <c r="S193" s="21" t="e">
        <f t="shared" ca="1" si="54"/>
        <v>#VALUE!</v>
      </c>
      <c r="T193" s="21" t="e">
        <f t="shared" ca="1" si="55"/>
        <v>#VALUE!</v>
      </c>
      <c r="U193" s="21" t="e">
        <f t="shared" ca="1" si="66"/>
        <v>#VALUE!</v>
      </c>
      <c r="V193" s="60" t="e">
        <f t="shared" ca="1" si="67"/>
        <v>#VALUE!</v>
      </c>
      <c r="W193" s="61" t="e">
        <f t="shared" ca="1" si="50"/>
        <v>#VALUE!</v>
      </c>
    </row>
    <row r="194" spans="1:23" x14ac:dyDescent="0.25">
      <c r="A194" s="58" t="str">
        <f t="shared" si="51"/>
        <v/>
      </c>
      <c r="B194" s="55" t="str">
        <f t="shared" si="62"/>
        <v/>
      </c>
      <c r="C194" s="55" t="str">
        <f t="shared" ca="1" si="52"/>
        <v xml:space="preserve"> </v>
      </c>
      <c r="D194" s="58" t="str">
        <f t="shared" si="60"/>
        <v/>
      </c>
      <c r="E194" s="56" t="str">
        <f t="shared" si="61"/>
        <v/>
      </c>
      <c r="F194" s="56" t="str">
        <f>IF(AND(A193="",A195=""),"",IF(A194="",ROUND(SUM($F$25:F193),2),IF(A194=$D$8,$E$24-ROUND(SUM($F$25:F193),2),ROUND($E$24/$D$8,2))))</f>
        <v/>
      </c>
      <c r="G194" s="56" t="str">
        <f>IF(A193=$D$8,ROUND(SUM($G$25:G193),2),IF(A194&gt;$D$8,"",IF(T194&lt;&gt;T193,ROUND(SUM(V194*$D$9*E193/T194,W194*$D$9*E193/T193),2),ROUND(E193*$D$9*D194/T193,2))))</f>
        <v/>
      </c>
      <c r="H194" s="56" t="str">
        <f>IF(A193=$D$8,SUM($H$25:H193),IF(A193&gt;$D$8,"",F194+G194))</f>
        <v/>
      </c>
      <c r="I194" s="56" t="str">
        <f t="shared" si="63"/>
        <v/>
      </c>
      <c r="J194" s="56" t="str">
        <f t="shared" ref="J194:J204" si="69">IF(A193=$D$8,$J$24,"")</f>
        <v/>
      </c>
      <c r="K194" s="56"/>
      <c r="L194" s="56" t="str">
        <f t="shared" si="64"/>
        <v/>
      </c>
      <c r="M194" s="56" t="str">
        <f t="shared" si="57"/>
        <v/>
      </c>
      <c r="N194" s="56" t="str">
        <f t="shared" si="58"/>
        <v/>
      </c>
      <c r="P194" s="59" t="str">
        <f>IF(A193=$D$8,XIRR(H$24:H193,C$24:C193),"")</f>
        <v/>
      </c>
      <c r="Q194" s="56" t="str">
        <f t="shared" si="56"/>
        <v/>
      </c>
      <c r="R194" s="56">
        <f t="shared" si="53"/>
        <v>0</v>
      </c>
      <c r="S194" s="21" t="e">
        <f t="shared" ca="1" si="54"/>
        <v>#VALUE!</v>
      </c>
      <c r="T194" s="21" t="e">
        <f t="shared" ca="1" si="55"/>
        <v>#VALUE!</v>
      </c>
      <c r="U194" s="21" t="e">
        <f t="shared" ca="1" si="66"/>
        <v>#VALUE!</v>
      </c>
      <c r="V194" s="60" t="e">
        <f t="shared" ca="1" si="67"/>
        <v>#VALUE!</v>
      </c>
      <c r="W194" s="61" t="e">
        <f t="shared" ca="1" si="50"/>
        <v>#VALUE!</v>
      </c>
    </row>
    <row r="195" spans="1:23" x14ac:dyDescent="0.25">
      <c r="A195" s="58" t="str">
        <f t="shared" si="51"/>
        <v/>
      </c>
      <c r="B195" s="55" t="str">
        <f t="shared" si="62"/>
        <v/>
      </c>
      <c r="C195" s="55" t="str">
        <f t="shared" ca="1" si="52"/>
        <v xml:space="preserve"> </v>
      </c>
      <c r="D195" s="58" t="str">
        <f t="shared" si="60"/>
        <v/>
      </c>
      <c r="E195" s="56" t="str">
        <f t="shared" si="61"/>
        <v/>
      </c>
      <c r="F195" s="56" t="str">
        <f>IF(AND(A194="",A196=""),"",IF(A195="",ROUND(SUM($F$25:F194),2),IF(A195=$D$8,$E$24-ROUND(SUM($F$25:F194),2),ROUND($E$24/$D$8,2))))</f>
        <v/>
      </c>
      <c r="G195" s="56" t="str">
        <f>IF(A194=$D$8,ROUND(SUM($G$25:G194),2),IF(A195&gt;$D$8,"",IF(T195&lt;&gt;T194,ROUND(SUM(V195*$D$9*E194/T195,W195*$D$9*E194/T194),2),ROUND(E194*$D$9*D195/T194,2))))</f>
        <v/>
      </c>
      <c r="H195" s="56" t="str">
        <f>IF(A194=$D$8,SUM($H$25:H194),IF(A194&gt;$D$8,"",F195+G195))</f>
        <v/>
      </c>
      <c r="I195" s="56" t="str">
        <f t="shared" si="63"/>
        <v/>
      </c>
      <c r="J195" s="56" t="str">
        <f t="shared" si="69"/>
        <v/>
      </c>
      <c r="K195" s="56"/>
      <c r="L195" s="56" t="str">
        <f t="shared" si="64"/>
        <v/>
      </c>
      <c r="M195" s="56" t="str">
        <f t="shared" si="57"/>
        <v/>
      </c>
      <c r="N195" s="56" t="str">
        <f t="shared" si="58"/>
        <v/>
      </c>
      <c r="P195" s="59" t="str">
        <f>IF(A194=$D$8,XIRR(H$24:H194,C$24:C194),"")</f>
        <v/>
      </c>
      <c r="Q195" s="56" t="str">
        <f t="shared" si="56"/>
        <v/>
      </c>
      <c r="R195" s="56">
        <f t="shared" si="53"/>
        <v>0</v>
      </c>
      <c r="S195" s="21" t="e">
        <f t="shared" ca="1" si="54"/>
        <v>#VALUE!</v>
      </c>
      <c r="T195" s="21" t="e">
        <f t="shared" ca="1" si="55"/>
        <v>#VALUE!</v>
      </c>
      <c r="U195" s="21" t="e">
        <f t="shared" ca="1" si="66"/>
        <v>#VALUE!</v>
      </c>
      <c r="V195" s="60" t="e">
        <f t="shared" ca="1" si="67"/>
        <v>#VALUE!</v>
      </c>
      <c r="W195" s="61" t="e">
        <f t="shared" ca="1" si="50"/>
        <v>#VALUE!</v>
      </c>
    </row>
    <row r="196" spans="1:23" x14ac:dyDescent="0.25">
      <c r="A196" s="58" t="str">
        <f t="shared" si="51"/>
        <v/>
      </c>
      <c r="B196" s="55" t="str">
        <f t="shared" si="62"/>
        <v/>
      </c>
      <c r="C196" s="55" t="str">
        <f t="shared" ca="1" si="52"/>
        <v xml:space="preserve"> </v>
      </c>
      <c r="D196" s="58" t="str">
        <f t="shared" si="60"/>
        <v/>
      </c>
      <c r="E196" s="56" t="str">
        <f t="shared" si="61"/>
        <v/>
      </c>
      <c r="F196" s="56" t="str">
        <f>IF(AND(A195="",A197=""),"",IF(A196="",ROUND(SUM($F$25:F195),2),IF(A196=$D$8,$E$24-ROUND(SUM($F$25:F195),2),ROUND($E$24/$D$8,2))))</f>
        <v/>
      </c>
      <c r="G196" s="56" t="str">
        <f>IF(A195=$D$8,ROUND(SUM($G$25:G195),2),IF(A196&gt;$D$8,"",IF(T196&lt;&gt;T195,ROUND(SUM(V196*$D$9*E195/T196,W196*$D$9*E195/T195),2),ROUND(E195*$D$9*D196/T195,2))))</f>
        <v/>
      </c>
      <c r="H196" s="56" t="str">
        <f>IF(A195=$D$8,SUM($H$25:H195),IF(A195&gt;$D$8,"",F196+G196))</f>
        <v/>
      </c>
      <c r="I196" s="56" t="str">
        <f t="shared" si="63"/>
        <v/>
      </c>
      <c r="J196" s="56" t="str">
        <f t="shared" si="69"/>
        <v/>
      </c>
      <c r="K196" s="56"/>
      <c r="L196" s="56" t="str">
        <f t="shared" si="64"/>
        <v/>
      </c>
      <c r="M196" s="56" t="str">
        <f t="shared" si="57"/>
        <v/>
      </c>
      <c r="N196" s="56" t="str">
        <f t="shared" si="58"/>
        <v/>
      </c>
      <c r="P196" s="59" t="str">
        <f>IF(A195=$D$8,XIRR(H$24:H195,C$24:C195),"")</f>
        <v/>
      </c>
      <c r="Q196" s="56" t="str">
        <f t="shared" si="56"/>
        <v/>
      </c>
      <c r="R196" s="56">
        <f t="shared" si="53"/>
        <v>0</v>
      </c>
      <c r="S196" s="21" t="e">
        <f t="shared" ca="1" si="54"/>
        <v>#VALUE!</v>
      </c>
      <c r="T196" s="21" t="e">
        <f t="shared" ca="1" si="55"/>
        <v>#VALUE!</v>
      </c>
      <c r="U196" s="21" t="e">
        <f t="shared" ca="1" si="66"/>
        <v>#VALUE!</v>
      </c>
      <c r="V196" s="60" t="e">
        <f t="shared" ca="1" si="67"/>
        <v>#VALUE!</v>
      </c>
      <c r="W196" s="61" t="e">
        <f t="shared" ca="1" si="50"/>
        <v>#VALUE!</v>
      </c>
    </row>
    <row r="197" spans="1:23" x14ac:dyDescent="0.25">
      <c r="A197" s="58" t="str">
        <f t="shared" si="51"/>
        <v/>
      </c>
      <c r="B197" s="55" t="str">
        <f t="shared" si="62"/>
        <v/>
      </c>
      <c r="C197" s="55" t="str">
        <f t="shared" ca="1" si="52"/>
        <v xml:space="preserve"> </v>
      </c>
      <c r="D197" s="58" t="str">
        <f t="shared" si="60"/>
        <v/>
      </c>
      <c r="E197" s="56" t="str">
        <f t="shared" si="61"/>
        <v/>
      </c>
      <c r="F197" s="56" t="str">
        <f>IF(AND(A196="",A198=""),"",IF(A197="",ROUND(SUM($F$25:F196),2),IF(A197=$D$8,$E$24-ROUND(SUM($F$25:F196),2),ROUND($E$24/$D$8,2))))</f>
        <v/>
      </c>
      <c r="G197" s="56" t="str">
        <f>IF(A196=$D$8,ROUND(SUM($G$25:G196),2),IF(A197&gt;$D$8,"",IF(T197&lt;&gt;T196,ROUND(SUM(V197*$D$9*E196/T197,W197*$D$9*E196/T196),2),ROUND(E196*$D$9*D197/T196,2))))</f>
        <v/>
      </c>
      <c r="H197" s="56" t="str">
        <f>IF(A196=$D$8,SUM($H$25:H196),IF(A196&gt;$D$8,"",F197+G197))</f>
        <v/>
      </c>
      <c r="I197" s="56" t="str">
        <f t="shared" si="63"/>
        <v/>
      </c>
      <c r="J197" s="56" t="str">
        <f t="shared" si="69"/>
        <v/>
      </c>
      <c r="K197" s="56"/>
      <c r="L197" s="56" t="str">
        <f t="shared" si="64"/>
        <v/>
      </c>
      <c r="M197" s="56" t="str">
        <f t="shared" si="57"/>
        <v/>
      </c>
      <c r="N197" s="56" t="str">
        <f t="shared" si="58"/>
        <v/>
      </c>
      <c r="P197" s="59" t="str">
        <f>IF(A196=$D$8,XIRR(H$24:H196,C$24:C196),"")</f>
        <v/>
      </c>
      <c r="Q197" s="56" t="str">
        <f t="shared" si="56"/>
        <v/>
      </c>
      <c r="R197" s="56">
        <f t="shared" si="53"/>
        <v>0</v>
      </c>
      <c r="S197" s="21" t="e">
        <f t="shared" ca="1" si="54"/>
        <v>#VALUE!</v>
      </c>
      <c r="T197" s="21" t="e">
        <f t="shared" ca="1" si="55"/>
        <v>#VALUE!</v>
      </c>
      <c r="U197" s="21" t="e">
        <f t="shared" ca="1" si="66"/>
        <v>#VALUE!</v>
      </c>
      <c r="V197" s="60" t="e">
        <f t="shared" ca="1" si="67"/>
        <v>#VALUE!</v>
      </c>
      <c r="W197" s="61" t="e">
        <f t="shared" ca="1" si="50"/>
        <v>#VALUE!</v>
      </c>
    </row>
    <row r="198" spans="1:23" x14ac:dyDescent="0.25">
      <c r="A198" s="58" t="str">
        <f t="shared" si="51"/>
        <v/>
      </c>
      <c r="B198" s="55" t="str">
        <f t="shared" si="62"/>
        <v/>
      </c>
      <c r="C198" s="55" t="str">
        <f t="shared" ca="1" si="52"/>
        <v xml:space="preserve"> </v>
      </c>
      <c r="D198" s="58" t="str">
        <f t="shared" si="60"/>
        <v/>
      </c>
      <c r="E198" s="56" t="str">
        <f t="shared" si="61"/>
        <v/>
      </c>
      <c r="F198" s="56" t="str">
        <f>IF(AND(A197="",A199=""),"",IF(A198="",ROUND(SUM($F$25:F197),2),IF(A198=$D$8,$E$24-ROUND(SUM($F$25:F197),2),ROUND($E$24/$D$8,2))))</f>
        <v/>
      </c>
      <c r="G198" s="56" t="str">
        <f>IF(A197=$D$8,ROUND(SUM($G$25:G197),2),IF(A198&gt;$D$8,"",IF(T198&lt;&gt;T197,ROUND(SUM(V198*$D$9*E197/T198,W198*$D$9*E197/T197),2),ROUND(E197*$D$9*D198/T197,2))))</f>
        <v/>
      </c>
      <c r="H198" s="56" t="str">
        <f>IF(A197=$D$8,SUM($H$25:H197),IF(A197&gt;$D$8,"",F198+G198))</f>
        <v/>
      </c>
      <c r="I198" s="56" t="str">
        <f t="shared" si="63"/>
        <v/>
      </c>
      <c r="J198" s="56" t="str">
        <f t="shared" si="69"/>
        <v/>
      </c>
      <c r="K198" s="56"/>
      <c r="L198" s="56" t="str">
        <f t="shared" si="64"/>
        <v/>
      </c>
      <c r="M198" s="56" t="str">
        <f t="shared" si="57"/>
        <v/>
      </c>
      <c r="N198" s="56" t="str">
        <f t="shared" si="58"/>
        <v/>
      </c>
      <c r="P198" s="59" t="str">
        <f>IF(A197=$D$8,XIRR(H$24:H197,C$24:C197),"")</f>
        <v/>
      </c>
      <c r="Q198" s="56" t="str">
        <f t="shared" si="56"/>
        <v/>
      </c>
      <c r="R198" s="56">
        <f t="shared" si="53"/>
        <v>0</v>
      </c>
      <c r="S198" s="21" t="e">
        <f t="shared" ca="1" si="54"/>
        <v>#VALUE!</v>
      </c>
      <c r="T198" s="21" t="e">
        <f t="shared" ca="1" si="55"/>
        <v>#VALUE!</v>
      </c>
      <c r="U198" s="21" t="e">
        <f t="shared" ca="1" si="66"/>
        <v>#VALUE!</v>
      </c>
      <c r="V198" s="60" t="e">
        <f t="shared" ca="1" si="67"/>
        <v>#VALUE!</v>
      </c>
      <c r="W198" s="61" t="e">
        <f t="shared" ca="1" si="50"/>
        <v>#VALUE!</v>
      </c>
    </row>
    <row r="199" spans="1:23" x14ac:dyDescent="0.25">
      <c r="A199" s="58" t="str">
        <f t="shared" si="51"/>
        <v/>
      </c>
      <c r="B199" s="55" t="str">
        <f t="shared" si="62"/>
        <v/>
      </c>
      <c r="C199" s="55" t="str">
        <f t="shared" ca="1" si="52"/>
        <v xml:space="preserve"> </v>
      </c>
      <c r="D199" s="58" t="str">
        <f t="shared" si="60"/>
        <v/>
      </c>
      <c r="E199" s="56" t="str">
        <f t="shared" si="61"/>
        <v/>
      </c>
      <c r="F199" s="56" t="str">
        <f>IF(AND(A198="",A200=""),"",IF(A199="",ROUND(SUM($F$25:F198),2),IF(A199=$D$8,$E$24-ROUND(SUM($F$25:F198),2),ROUND($E$24/$D$8,2))))</f>
        <v/>
      </c>
      <c r="G199" s="56" t="str">
        <f>IF(A198=$D$8,ROUND(SUM($G$25:G198),2),IF(A199&gt;$D$8,"",IF(T199&lt;&gt;T198,ROUND(SUM(V199*$D$9*E198/T199,W199*$D$9*E198/T198),2),ROUND(E198*$D$9*D199/T198,2))))</f>
        <v/>
      </c>
      <c r="H199" s="56" t="str">
        <f>IF(A198=$D$8,SUM($H$25:H198),IF(A198&gt;$D$8,"",F199+G199))</f>
        <v/>
      </c>
      <c r="I199" s="56" t="str">
        <f t="shared" si="63"/>
        <v/>
      </c>
      <c r="J199" s="56" t="str">
        <f t="shared" si="69"/>
        <v/>
      </c>
      <c r="K199" s="56"/>
      <c r="L199" s="56" t="str">
        <f t="shared" si="64"/>
        <v/>
      </c>
      <c r="M199" s="56" t="str">
        <f t="shared" si="57"/>
        <v/>
      </c>
      <c r="N199" s="56" t="str">
        <f t="shared" si="58"/>
        <v/>
      </c>
      <c r="P199" s="59" t="str">
        <f>IF(A198=$D$8,XIRR(H$24:H198,C$24:C198),"")</f>
        <v/>
      </c>
      <c r="Q199" s="56" t="str">
        <f t="shared" si="56"/>
        <v/>
      </c>
      <c r="R199" s="56">
        <f t="shared" si="53"/>
        <v>0</v>
      </c>
      <c r="S199" s="21" t="e">
        <f t="shared" ca="1" si="54"/>
        <v>#VALUE!</v>
      </c>
      <c r="T199" s="21" t="e">
        <f t="shared" ca="1" si="55"/>
        <v>#VALUE!</v>
      </c>
      <c r="U199" s="21" t="e">
        <f t="shared" ca="1" si="66"/>
        <v>#VALUE!</v>
      </c>
      <c r="V199" s="60" t="e">
        <f t="shared" ca="1" si="67"/>
        <v>#VALUE!</v>
      </c>
      <c r="W199" s="61" t="e">
        <f t="shared" ca="1" si="50"/>
        <v>#VALUE!</v>
      </c>
    </row>
    <row r="200" spans="1:23" x14ac:dyDescent="0.25">
      <c r="A200" s="58" t="str">
        <f t="shared" si="51"/>
        <v/>
      </c>
      <c r="B200" s="55" t="str">
        <f t="shared" si="62"/>
        <v/>
      </c>
      <c r="C200" s="55" t="str">
        <f t="shared" ca="1" si="52"/>
        <v xml:space="preserve"> </v>
      </c>
      <c r="D200" s="58" t="str">
        <f t="shared" si="60"/>
        <v/>
      </c>
      <c r="E200" s="56" t="str">
        <f t="shared" si="61"/>
        <v/>
      </c>
      <c r="F200" s="56" t="str">
        <f>IF(AND(A199="",A201=""),"",IF(A200="",ROUND(SUM($F$25:F199),2),IF(A200=$D$8,$E$24-ROUND(SUM($F$25:F199),2),ROUND($E$24/$D$8,2))))</f>
        <v/>
      </c>
      <c r="G200" s="56" t="str">
        <f>IF(A199=$D$8,ROUND(SUM($G$25:G199),2),IF(A200&gt;$D$8,"",IF(T200&lt;&gt;T199,ROUND(SUM(V200*$D$9*E199/T200,W200*$D$9*E199/T199),2),ROUND(E199*$D$9*D200/T199,2))))</f>
        <v/>
      </c>
      <c r="H200" s="56" t="str">
        <f>IF(A199=$D$8,SUM($H$25:H199),IF(A199&gt;$D$8,"",F200+G200))</f>
        <v/>
      </c>
      <c r="I200" s="56" t="str">
        <f t="shared" si="63"/>
        <v/>
      </c>
      <c r="J200" s="56" t="str">
        <f t="shared" si="69"/>
        <v/>
      </c>
      <c r="K200" s="56"/>
      <c r="L200" s="56" t="str">
        <f t="shared" si="64"/>
        <v/>
      </c>
      <c r="M200" s="56" t="str">
        <f t="shared" si="57"/>
        <v/>
      </c>
      <c r="N200" s="56" t="str">
        <f t="shared" si="58"/>
        <v/>
      </c>
      <c r="P200" s="59" t="str">
        <f>IF(A199=$D$8,XIRR(H$24:H199,C$24:C199),"")</f>
        <v/>
      </c>
      <c r="Q200" s="56" t="str">
        <f t="shared" si="56"/>
        <v/>
      </c>
      <c r="R200" s="56">
        <f t="shared" si="53"/>
        <v>0</v>
      </c>
      <c r="S200" s="21" t="e">
        <f t="shared" ca="1" si="54"/>
        <v>#VALUE!</v>
      </c>
      <c r="T200" s="21" t="e">
        <f t="shared" ca="1" si="55"/>
        <v>#VALUE!</v>
      </c>
      <c r="U200" s="21" t="e">
        <f t="shared" ca="1" si="66"/>
        <v>#VALUE!</v>
      </c>
      <c r="V200" s="60" t="e">
        <f t="shared" ca="1" si="67"/>
        <v>#VALUE!</v>
      </c>
      <c r="W200" s="61" t="e">
        <f t="shared" ca="1" si="50"/>
        <v>#VALUE!</v>
      </c>
    </row>
    <row r="201" spans="1:23" x14ac:dyDescent="0.25">
      <c r="A201" s="58" t="str">
        <f t="shared" si="51"/>
        <v/>
      </c>
      <c r="B201" s="55" t="str">
        <f t="shared" si="62"/>
        <v/>
      </c>
      <c r="C201" s="55" t="str">
        <f t="shared" ca="1" si="52"/>
        <v xml:space="preserve"> </v>
      </c>
      <c r="D201" s="58" t="str">
        <f t="shared" si="60"/>
        <v/>
      </c>
      <c r="E201" s="56" t="str">
        <f t="shared" si="61"/>
        <v/>
      </c>
      <c r="F201" s="56" t="str">
        <f>IF(AND(A200="",A202=""),"",IF(A201="",ROUND(SUM($F$25:F200),2),IF(A201=$D$8,$E$24-ROUND(SUM($F$25:F200),2),ROUND($E$24/$D$8,2))))</f>
        <v/>
      </c>
      <c r="G201" s="56" t="str">
        <f>IF(A200=$D$8,ROUND(SUM($G$25:G200),2),IF(A201&gt;$D$8,"",IF(T201&lt;&gt;T200,ROUND(SUM(V201*$D$9*E200/T201,W201*$D$9*E200/T200),2),ROUND(E200*$D$9*D201/T200,2))))</f>
        <v/>
      </c>
      <c r="H201" s="56" t="str">
        <f>IF(A200=$D$8,SUM($H$25:H200),IF(A200&gt;$D$8,"",F201+G201))</f>
        <v/>
      </c>
      <c r="I201" s="56" t="str">
        <f t="shared" si="63"/>
        <v/>
      </c>
      <c r="J201" s="56" t="str">
        <f t="shared" si="69"/>
        <v/>
      </c>
      <c r="K201" s="56"/>
      <c r="L201" s="56" t="str">
        <f t="shared" si="64"/>
        <v/>
      </c>
      <c r="M201" s="56" t="str">
        <f t="shared" si="57"/>
        <v/>
      </c>
      <c r="N201" s="56" t="str">
        <f t="shared" si="58"/>
        <v/>
      </c>
      <c r="P201" s="59" t="str">
        <f>IF(A200=$D$8,XIRR(H$24:H200,C$24:C200),"")</f>
        <v/>
      </c>
      <c r="Q201" s="56" t="str">
        <f t="shared" si="56"/>
        <v/>
      </c>
      <c r="R201" s="56">
        <f t="shared" si="53"/>
        <v>0</v>
      </c>
      <c r="S201" s="21" t="e">
        <f t="shared" ca="1" si="54"/>
        <v>#VALUE!</v>
      </c>
      <c r="T201" s="21" t="e">
        <f t="shared" ca="1" si="55"/>
        <v>#VALUE!</v>
      </c>
      <c r="U201" s="21" t="e">
        <f t="shared" ca="1" si="66"/>
        <v>#VALUE!</v>
      </c>
      <c r="V201" s="60" t="e">
        <f t="shared" ca="1" si="67"/>
        <v>#VALUE!</v>
      </c>
      <c r="W201" s="61" t="e">
        <f t="shared" ca="1" si="50"/>
        <v>#VALUE!</v>
      </c>
    </row>
    <row r="202" spans="1:23" x14ac:dyDescent="0.25">
      <c r="A202" s="58" t="str">
        <f t="shared" si="51"/>
        <v/>
      </c>
      <c r="B202" s="55" t="str">
        <f t="shared" si="62"/>
        <v/>
      </c>
      <c r="C202" s="55" t="str">
        <f t="shared" ca="1" si="52"/>
        <v xml:space="preserve"> </v>
      </c>
      <c r="D202" s="58" t="str">
        <f t="shared" si="60"/>
        <v/>
      </c>
      <c r="E202" s="56" t="str">
        <f t="shared" si="61"/>
        <v/>
      </c>
      <c r="F202" s="56" t="str">
        <f>IF(AND(A201="",A203=""),"",IF(A202="",ROUND(SUM($F$25:F201),2),IF(A202=$D$8,$E$24-ROUND(SUM($F$25:F201),2),ROUND($E$24/$D$8,2))))</f>
        <v/>
      </c>
      <c r="G202" s="56" t="str">
        <f>IF(A201=$D$8,ROUND(SUM($G$25:G201),2),IF(A202&gt;$D$8,"",IF(T202&lt;&gt;T201,ROUND(SUM(V202*$D$9*E201/T202,W202*$D$9*E201/T201),2),ROUND(E201*$D$9*D202/T201,2))))</f>
        <v/>
      </c>
      <c r="H202" s="56" t="str">
        <f>IF(A201=$D$8,SUM($H$25:H201),IF(A201&gt;$D$8,"",F202+G202))</f>
        <v/>
      </c>
      <c r="I202" s="56" t="str">
        <f t="shared" si="63"/>
        <v/>
      </c>
      <c r="J202" s="56" t="str">
        <f t="shared" si="69"/>
        <v/>
      </c>
      <c r="K202" s="56"/>
      <c r="L202" s="56" t="str">
        <f t="shared" si="64"/>
        <v/>
      </c>
      <c r="M202" s="56" t="str">
        <f t="shared" si="57"/>
        <v/>
      </c>
      <c r="N202" s="56" t="str">
        <f t="shared" si="58"/>
        <v/>
      </c>
      <c r="P202" s="59" t="str">
        <f>IF(A201=$D$8,XIRR(H$24:H201,C$24:C201),"")</f>
        <v/>
      </c>
      <c r="Q202" s="56" t="str">
        <f t="shared" si="56"/>
        <v/>
      </c>
      <c r="R202" s="56">
        <f t="shared" si="53"/>
        <v>0</v>
      </c>
      <c r="S202" s="21" t="e">
        <f t="shared" ca="1" si="54"/>
        <v>#VALUE!</v>
      </c>
      <c r="T202" s="21" t="e">
        <f t="shared" ca="1" si="55"/>
        <v>#VALUE!</v>
      </c>
      <c r="U202" s="21" t="e">
        <f t="shared" ca="1" si="66"/>
        <v>#VALUE!</v>
      </c>
      <c r="V202" s="60" t="e">
        <f t="shared" ca="1" si="67"/>
        <v>#VALUE!</v>
      </c>
      <c r="W202" s="61" t="e">
        <f t="shared" ca="1" si="50"/>
        <v>#VALUE!</v>
      </c>
    </row>
    <row r="203" spans="1:23" x14ac:dyDescent="0.25">
      <c r="A203" s="58" t="str">
        <f t="shared" si="51"/>
        <v/>
      </c>
      <c r="B203" s="55" t="str">
        <f t="shared" si="62"/>
        <v/>
      </c>
      <c r="C203" s="55" t="str">
        <f t="shared" ca="1" si="52"/>
        <v xml:space="preserve"> </v>
      </c>
      <c r="D203" s="58" t="str">
        <f t="shared" si="60"/>
        <v/>
      </c>
      <c r="E203" s="56" t="str">
        <f t="shared" si="61"/>
        <v/>
      </c>
      <c r="F203" s="56" t="str">
        <f>IF(AND(A202="",A204=""),"",IF(A203="",ROUND(SUM($F$25:F202),2),IF(A203=$D$8,$E$24-ROUND(SUM($F$25:F202),2),ROUND($E$24/$D$8,2))))</f>
        <v/>
      </c>
      <c r="G203" s="56" t="str">
        <f>IF(A202=$D$8,ROUND(SUM($G$25:G202),2),IF(A203&gt;$D$8,"",IF(T203&lt;&gt;T202,ROUND(SUM(V203*$D$9*E202/T203,W203*$D$9*E202/T202),2),ROUND(E202*$D$9*D203/T202,2))))</f>
        <v/>
      </c>
      <c r="H203" s="56" t="str">
        <f>IF(A202=$D$8,SUM($H$25:H202),IF(A202&gt;$D$8,"",F203+G203))</f>
        <v/>
      </c>
      <c r="I203" s="56" t="str">
        <f t="shared" si="63"/>
        <v/>
      </c>
      <c r="J203" s="56" t="str">
        <f t="shared" si="69"/>
        <v/>
      </c>
      <c r="K203" s="56"/>
      <c r="L203" s="56" t="str">
        <f t="shared" si="64"/>
        <v/>
      </c>
      <c r="M203" s="56" t="str">
        <f t="shared" si="57"/>
        <v/>
      </c>
      <c r="N203" s="56" t="str">
        <f t="shared" si="58"/>
        <v/>
      </c>
      <c r="P203" s="59" t="str">
        <f>IF(A202=$D$8,XIRR(H$24:H202,C$24:C202),"")</f>
        <v/>
      </c>
      <c r="Q203" s="56" t="str">
        <f t="shared" si="56"/>
        <v/>
      </c>
      <c r="R203" s="56">
        <f t="shared" si="53"/>
        <v>0</v>
      </c>
      <c r="S203" s="21" t="e">
        <f t="shared" ca="1" si="54"/>
        <v>#VALUE!</v>
      </c>
      <c r="T203" s="21" t="e">
        <f t="shared" ca="1" si="55"/>
        <v>#VALUE!</v>
      </c>
      <c r="U203" s="21" t="e">
        <f t="shared" ca="1" si="66"/>
        <v>#VALUE!</v>
      </c>
      <c r="V203" s="60" t="e">
        <f t="shared" ca="1" si="67"/>
        <v>#VALUE!</v>
      </c>
      <c r="W203" s="61" t="e">
        <f t="shared" ca="1" si="50"/>
        <v>#VALUE!</v>
      </c>
    </row>
    <row r="204" spans="1:23" x14ac:dyDescent="0.25">
      <c r="A204" s="58" t="str">
        <f t="shared" si="51"/>
        <v/>
      </c>
      <c r="B204" s="55" t="str">
        <f t="shared" si="62"/>
        <v/>
      </c>
      <c r="C204" s="55" t="str">
        <f t="shared" ca="1" si="52"/>
        <v xml:space="preserve"> </v>
      </c>
      <c r="D204" s="58" t="str">
        <f t="shared" si="60"/>
        <v/>
      </c>
      <c r="E204" s="56" t="str">
        <f t="shared" si="61"/>
        <v/>
      </c>
      <c r="F204" s="56" t="str">
        <f>IF(AND(A203="",A205=""),"",IF(A204="",ROUND(SUM($F$25:F203),2),IF(A204=$D$8,$E$24-ROUND(SUM($F$25:F203),2),ROUND($E$24/$D$8,2))))</f>
        <v/>
      </c>
      <c r="G204" s="56" t="str">
        <f>IF(A203=$D$8,ROUND(SUM($G$25:G203),2),IF(A204&gt;$D$8,"",IF(T204&lt;&gt;T203,ROUND(SUM(V204*$D$9*E203/T204,W204*$D$9*E203/T203),2),ROUND(E203*$D$9*D204/T203,2))))</f>
        <v/>
      </c>
      <c r="H204" s="56" t="str">
        <f>IF(A203=$D$8,SUM($H$25:H203),IF(A203&gt;$D$8,"",F204+G204))</f>
        <v/>
      </c>
      <c r="I204" s="56" t="str">
        <f t="shared" si="63"/>
        <v/>
      </c>
      <c r="J204" s="56" t="str">
        <f t="shared" si="69"/>
        <v/>
      </c>
      <c r="K204" s="56"/>
      <c r="L204" s="56" t="str">
        <f t="shared" si="64"/>
        <v/>
      </c>
      <c r="M204" s="56" t="str">
        <f t="shared" si="57"/>
        <v/>
      </c>
      <c r="N204" s="56" t="str">
        <f t="shared" si="58"/>
        <v/>
      </c>
      <c r="P204" s="59" t="str">
        <f>IF(A203=$D$8,XIRR(H$24:H203,C$24:C203),"")</f>
        <v/>
      </c>
      <c r="Q204" s="56" t="str">
        <f t="shared" si="56"/>
        <v/>
      </c>
      <c r="R204" s="56">
        <f t="shared" si="53"/>
        <v>0</v>
      </c>
      <c r="S204" s="21" t="e">
        <f t="shared" ca="1" si="54"/>
        <v>#VALUE!</v>
      </c>
      <c r="T204" s="21" t="e">
        <f t="shared" ca="1" si="55"/>
        <v>#VALUE!</v>
      </c>
      <c r="U204" s="21" t="e">
        <f t="shared" ca="1" si="66"/>
        <v>#VALUE!</v>
      </c>
      <c r="V204" s="60" t="e">
        <f t="shared" ca="1" si="67"/>
        <v>#VALUE!</v>
      </c>
      <c r="W204" s="61" t="e">
        <f t="shared" ca="1" si="50"/>
        <v>#VALUE!</v>
      </c>
    </row>
    <row r="205" spans="1:23" x14ac:dyDescent="0.25">
      <c r="A205" s="58" t="str">
        <f t="shared" si="51"/>
        <v/>
      </c>
      <c r="B205" s="55" t="str">
        <f t="shared" si="62"/>
        <v/>
      </c>
      <c r="C205" s="55" t="str">
        <f t="shared" ca="1" si="52"/>
        <v xml:space="preserve"> </v>
      </c>
      <c r="D205" s="58" t="str">
        <f t="shared" si="60"/>
        <v/>
      </c>
      <c r="E205" s="56" t="str">
        <f t="shared" si="61"/>
        <v/>
      </c>
      <c r="F205" s="56" t="str">
        <f>IF(AND(A204="",A206=""),"",IF(A205="",ROUND(SUM($F$25:F204),2),IF(A205=$D$8,$E$24-ROUND(SUM($F$25:F204),2),ROUND($E$24/$D$8,2))))</f>
        <v/>
      </c>
      <c r="G205" s="56" t="str">
        <f>IF(A204=$D$8,ROUND(SUM($G$25:G204),2),IF(A205&gt;$D$8,"",IF(T205&lt;&gt;T204,ROUND(SUM(V205*$D$9*E204/T205,W205*$D$9*E204/T204),2),ROUND(E204*$D$9*D205/T204,2))))</f>
        <v/>
      </c>
      <c r="H205" s="56" t="str">
        <f>IF(A204=$D$8,SUM($H$25:H204),IF(A204&gt;$D$8,"",F205+G205))</f>
        <v/>
      </c>
      <c r="I205" s="56" t="str">
        <f t="shared" si="63"/>
        <v/>
      </c>
      <c r="J205" s="56" t="str">
        <f>IF($D$8&gt;A204,$N$9,IF($D$8=A204,SUM($J$24:J204)," "))</f>
        <v xml:space="preserve"> </v>
      </c>
      <c r="K205" s="56" t="str">
        <f>IF($D$8&gt;A204,($O$8+$N$10*E204),IF(A204=$D$8,$K$37+$K$24+$K$49+$K$61+$K$73+$K$85+$K$97+$K$109+$K$121+$K$133+$K$145+$K$157+$K$169+$K$181+$K$193,""))</f>
        <v/>
      </c>
      <c r="L205" s="56" t="str">
        <f t="shared" si="64"/>
        <v/>
      </c>
      <c r="M205" s="56" t="str">
        <f t="shared" si="57"/>
        <v/>
      </c>
      <c r="N205" s="56" t="str">
        <f t="shared" si="58"/>
        <v/>
      </c>
      <c r="P205" s="59" t="str">
        <f>IF(A204=$D$8,XIRR(H$24:H204,C$24:C204),"")</f>
        <v/>
      </c>
      <c r="Q205" s="56" t="str">
        <f t="shared" si="56"/>
        <v/>
      </c>
      <c r="R205" s="56">
        <f t="shared" si="53"/>
        <v>0</v>
      </c>
      <c r="S205" s="21" t="e">
        <f t="shared" ca="1" si="54"/>
        <v>#VALUE!</v>
      </c>
      <c r="T205" s="21" t="e">
        <f t="shared" ca="1" si="55"/>
        <v>#VALUE!</v>
      </c>
      <c r="U205" s="21" t="e">
        <f t="shared" ca="1" si="66"/>
        <v>#VALUE!</v>
      </c>
      <c r="V205" s="60" t="e">
        <f t="shared" ca="1" si="67"/>
        <v>#VALUE!</v>
      </c>
      <c r="W205" s="61" t="e">
        <f t="shared" ca="1" si="50"/>
        <v>#VALUE!</v>
      </c>
    </row>
    <row r="206" spans="1:23" x14ac:dyDescent="0.25">
      <c r="A206" s="58" t="str">
        <f t="shared" si="51"/>
        <v/>
      </c>
      <c r="B206" s="55" t="str">
        <f t="shared" si="62"/>
        <v/>
      </c>
      <c r="C206" s="55" t="str">
        <f t="shared" ca="1" si="52"/>
        <v xml:space="preserve"> </v>
      </c>
      <c r="D206" s="58" t="str">
        <f t="shared" si="60"/>
        <v/>
      </c>
      <c r="E206" s="56" t="str">
        <f t="shared" si="61"/>
        <v/>
      </c>
      <c r="F206" s="56" t="str">
        <f>IF(AND(A205="",A207=""),"",IF(A206="",ROUND(SUM($F$25:F205),2),IF(A206=$D$8,$E$24-ROUND(SUM($F$25:F205),2),ROUND($E$24/$D$8,2))))</f>
        <v/>
      </c>
      <c r="G206" s="56" t="str">
        <f>IF(A205=$D$8,ROUND(SUM($G$25:G205),2),IF(A206&gt;$D$8,"",IF(T206&lt;&gt;T205,ROUND(SUM(V206*$D$9*E205/T206,W206*$D$9*E205/T205),2),ROUND(E205*$D$9*D206/T205,2))))</f>
        <v/>
      </c>
      <c r="H206" s="56" t="str">
        <f>IF(A205=$D$8,SUM($H$25:H205),IF(A205&gt;$D$8,"",F206+G206))</f>
        <v/>
      </c>
      <c r="I206" s="56" t="str">
        <f t="shared" si="63"/>
        <v/>
      </c>
      <c r="J206" s="56" t="str">
        <f t="shared" ref="J206:J216" si="70">IF(A205=$D$8,$J$24,"")</f>
        <v/>
      </c>
      <c r="K206" s="56"/>
      <c r="L206" s="56" t="str">
        <f t="shared" si="64"/>
        <v/>
      </c>
      <c r="M206" s="56" t="str">
        <f t="shared" si="57"/>
        <v/>
      </c>
      <c r="N206" s="56" t="str">
        <f t="shared" si="58"/>
        <v/>
      </c>
      <c r="P206" s="59" t="str">
        <f>IF(A205=$D$8,XIRR(H$24:H205,C$24:C205),"")</f>
        <v/>
      </c>
      <c r="Q206" s="56" t="str">
        <f t="shared" si="56"/>
        <v/>
      </c>
      <c r="R206" s="56">
        <f t="shared" si="53"/>
        <v>0</v>
      </c>
      <c r="S206" s="21" t="e">
        <f t="shared" ca="1" si="54"/>
        <v>#VALUE!</v>
      </c>
      <c r="T206" s="21" t="e">
        <f t="shared" ca="1" si="55"/>
        <v>#VALUE!</v>
      </c>
      <c r="U206" s="21" t="e">
        <f t="shared" ca="1" si="66"/>
        <v>#VALUE!</v>
      </c>
      <c r="V206" s="60" t="e">
        <f t="shared" ca="1" si="67"/>
        <v>#VALUE!</v>
      </c>
      <c r="W206" s="61" t="e">
        <f t="shared" ca="1" si="50"/>
        <v>#VALUE!</v>
      </c>
    </row>
    <row r="207" spans="1:23" x14ac:dyDescent="0.25">
      <c r="A207" s="58" t="str">
        <f t="shared" si="51"/>
        <v/>
      </c>
      <c r="B207" s="55" t="str">
        <f t="shared" si="62"/>
        <v/>
      </c>
      <c r="C207" s="55" t="str">
        <f t="shared" ca="1" si="52"/>
        <v xml:space="preserve"> </v>
      </c>
      <c r="D207" s="58" t="str">
        <f t="shared" si="60"/>
        <v/>
      </c>
      <c r="E207" s="56" t="str">
        <f t="shared" si="61"/>
        <v/>
      </c>
      <c r="F207" s="56" t="str">
        <f>IF(AND(A206="",A208=""),"",IF(A207="",ROUND(SUM($F$25:F206),2),IF(A207=$D$8,$E$24-ROUND(SUM($F$25:F206),2),ROUND($E$24/$D$8,2))))</f>
        <v/>
      </c>
      <c r="G207" s="56" t="str">
        <f>IF(A206=$D$8,ROUND(SUM($G$25:G206),2),IF(A207&gt;$D$8,"",IF(T207&lt;&gt;T206,ROUND(SUM(V207*$D$9*E206/T207,W207*$D$9*E206/T206),2),ROUND(E206*$D$9*D207/T206,2))))</f>
        <v/>
      </c>
      <c r="H207" s="56" t="str">
        <f>IF(A206=$D$8,SUM($H$25:H206),IF(A206&gt;$D$8,"",F207+G207))</f>
        <v/>
      </c>
      <c r="I207" s="56" t="str">
        <f t="shared" si="63"/>
        <v/>
      </c>
      <c r="J207" s="56" t="str">
        <f t="shared" si="70"/>
        <v/>
      </c>
      <c r="K207" s="56"/>
      <c r="L207" s="56" t="str">
        <f t="shared" si="64"/>
        <v/>
      </c>
      <c r="M207" s="56" t="str">
        <f t="shared" si="57"/>
        <v/>
      </c>
      <c r="N207" s="56" t="str">
        <f t="shared" si="58"/>
        <v/>
      </c>
      <c r="P207" s="59" t="str">
        <f>IF(A206=$D$8,XIRR(H$24:H206,C$24:C206),"")</f>
        <v/>
      </c>
      <c r="Q207" s="56" t="str">
        <f t="shared" si="56"/>
        <v/>
      </c>
      <c r="R207" s="56">
        <f t="shared" si="53"/>
        <v>0</v>
      </c>
      <c r="S207" s="21" t="e">
        <f t="shared" ca="1" si="54"/>
        <v>#VALUE!</v>
      </c>
      <c r="T207" s="21" t="e">
        <f t="shared" ca="1" si="55"/>
        <v>#VALUE!</v>
      </c>
      <c r="U207" s="21" t="e">
        <f t="shared" ca="1" si="66"/>
        <v>#VALUE!</v>
      </c>
      <c r="V207" s="60" t="e">
        <f t="shared" ca="1" si="67"/>
        <v>#VALUE!</v>
      </c>
      <c r="W207" s="61" t="e">
        <f t="shared" ca="1" si="50"/>
        <v>#VALUE!</v>
      </c>
    </row>
    <row r="208" spans="1:23" x14ac:dyDescent="0.25">
      <c r="A208" s="58" t="str">
        <f t="shared" si="51"/>
        <v/>
      </c>
      <c r="B208" s="55" t="str">
        <f t="shared" si="62"/>
        <v/>
      </c>
      <c r="C208" s="55" t="str">
        <f t="shared" ca="1" si="52"/>
        <v xml:space="preserve"> </v>
      </c>
      <c r="D208" s="58" t="str">
        <f t="shared" si="60"/>
        <v/>
      </c>
      <c r="E208" s="56" t="str">
        <f t="shared" si="61"/>
        <v/>
      </c>
      <c r="F208" s="56" t="str">
        <f>IF(AND(A207="",A209=""),"",IF(A208="",ROUND(SUM($F$25:F207),2),IF(A208=$D$8,$E$24-ROUND(SUM($F$25:F207),2),ROUND($E$24/$D$8,2))))</f>
        <v/>
      </c>
      <c r="G208" s="56" t="str">
        <f>IF(A207=$D$8,ROUND(SUM($G$25:G207),2),IF(A208&gt;$D$8,"",IF(T208&lt;&gt;T207,ROUND(SUM(V208*$D$9*E207/T208,W208*$D$9*E207/T207),2),ROUND(E207*$D$9*D208/T207,2))))</f>
        <v/>
      </c>
      <c r="H208" s="56" t="str">
        <f>IF(A207=$D$8,SUM($H$25:H207),IF(A207&gt;$D$8,"",F208+G208))</f>
        <v/>
      </c>
      <c r="I208" s="56" t="str">
        <f t="shared" si="63"/>
        <v/>
      </c>
      <c r="J208" s="56" t="str">
        <f t="shared" si="70"/>
        <v/>
      </c>
      <c r="K208" s="56"/>
      <c r="L208" s="56" t="str">
        <f t="shared" si="64"/>
        <v/>
      </c>
      <c r="M208" s="56" t="str">
        <f t="shared" si="57"/>
        <v/>
      </c>
      <c r="N208" s="56" t="str">
        <f t="shared" si="58"/>
        <v/>
      </c>
      <c r="P208" s="59" t="str">
        <f>IF(A207=$D$8,XIRR(H$24:H207,C$24:C207),"")</f>
        <v/>
      </c>
      <c r="Q208" s="56" t="str">
        <f t="shared" si="56"/>
        <v/>
      </c>
      <c r="R208" s="56">
        <f t="shared" si="53"/>
        <v>0</v>
      </c>
      <c r="S208" s="21" t="e">
        <f t="shared" ca="1" si="54"/>
        <v>#VALUE!</v>
      </c>
      <c r="T208" s="21" t="e">
        <f t="shared" ca="1" si="55"/>
        <v>#VALUE!</v>
      </c>
      <c r="U208" s="21" t="e">
        <f t="shared" ca="1" si="66"/>
        <v>#VALUE!</v>
      </c>
      <c r="V208" s="60" t="e">
        <f t="shared" ca="1" si="67"/>
        <v>#VALUE!</v>
      </c>
      <c r="W208" s="61" t="e">
        <f t="shared" ca="1" si="50"/>
        <v>#VALUE!</v>
      </c>
    </row>
    <row r="209" spans="1:23" x14ac:dyDescent="0.25">
      <c r="A209" s="58" t="str">
        <f t="shared" si="51"/>
        <v/>
      </c>
      <c r="B209" s="55" t="str">
        <f t="shared" si="62"/>
        <v/>
      </c>
      <c r="C209" s="55" t="str">
        <f t="shared" ca="1" si="52"/>
        <v xml:space="preserve"> </v>
      </c>
      <c r="D209" s="58" t="str">
        <f t="shared" si="60"/>
        <v/>
      </c>
      <c r="E209" s="56" t="str">
        <f t="shared" si="61"/>
        <v/>
      </c>
      <c r="F209" s="56" t="str">
        <f>IF(AND(A208="",A210=""),"",IF(A209="",ROUND(SUM($F$25:F208),2),IF(A209=$D$8,$E$24-ROUND(SUM($F$25:F208),2),ROUND($E$24/$D$8,2))))</f>
        <v/>
      </c>
      <c r="G209" s="56" t="str">
        <f>IF(A208=$D$8,ROUND(SUM($G$25:G208),2),IF(A209&gt;$D$8,"",IF(T209&lt;&gt;T208,ROUND(SUM(V209*$D$9*E208/T209,W209*$D$9*E208/T208),2),ROUND(E208*$D$9*D209/T208,2))))</f>
        <v/>
      </c>
      <c r="H209" s="56" t="str">
        <f>IF(A208=$D$8,SUM($H$25:H208),IF(A208&gt;$D$8,"",F209+G209))</f>
        <v/>
      </c>
      <c r="I209" s="56" t="str">
        <f t="shared" si="63"/>
        <v/>
      </c>
      <c r="J209" s="56" t="str">
        <f t="shared" si="70"/>
        <v/>
      </c>
      <c r="K209" s="56"/>
      <c r="L209" s="56" t="str">
        <f t="shared" si="64"/>
        <v/>
      </c>
      <c r="M209" s="56" t="str">
        <f t="shared" si="57"/>
        <v/>
      </c>
      <c r="N209" s="56" t="str">
        <f t="shared" si="58"/>
        <v/>
      </c>
      <c r="P209" s="59" t="str">
        <f>IF(A208=$D$8,XIRR(H$24:H208,C$24:C208),"")</f>
        <v/>
      </c>
      <c r="Q209" s="56" t="str">
        <f t="shared" si="56"/>
        <v/>
      </c>
      <c r="R209" s="56">
        <f t="shared" si="53"/>
        <v>0</v>
      </c>
      <c r="S209" s="21" t="e">
        <f t="shared" ca="1" si="54"/>
        <v>#VALUE!</v>
      </c>
      <c r="T209" s="21" t="e">
        <f t="shared" ca="1" si="55"/>
        <v>#VALUE!</v>
      </c>
      <c r="U209" s="21" t="e">
        <f t="shared" ca="1" si="66"/>
        <v>#VALUE!</v>
      </c>
      <c r="V209" s="60" t="e">
        <f t="shared" ca="1" si="67"/>
        <v>#VALUE!</v>
      </c>
      <c r="W209" s="61" t="e">
        <f t="shared" ca="1" si="50"/>
        <v>#VALUE!</v>
      </c>
    </row>
    <row r="210" spans="1:23" x14ac:dyDescent="0.25">
      <c r="A210" s="58" t="str">
        <f t="shared" si="51"/>
        <v/>
      </c>
      <c r="B210" s="55" t="str">
        <f t="shared" si="62"/>
        <v/>
      </c>
      <c r="C210" s="55" t="str">
        <f t="shared" ca="1" si="52"/>
        <v xml:space="preserve"> </v>
      </c>
      <c r="D210" s="58" t="str">
        <f t="shared" si="60"/>
        <v/>
      </c>
      <c r="E210" s="56" t="str">
        <f t="shared" si="61"/>
        <v/>
      </c>
      <c r="F210" s="56" t="str">
        <f>IF(AND(A209="",A211=""),"",IF(A210="",ROUND(SUM($F$25:F209),2),IF(A210=$D$8,$E$24-ROUND(SUM($F$25:F209),2),ROUND($E$24/$D$8,2))))</f>
        <v/>
      </c>
      <c r="G210" s="56" t="str">
        <f>IF(A209=$D$8,ROUND(SUM($G$25:G209),2),IF(A210&gt;$D$8,"",IF(T210&lt;&gt;T209,ROUND(SUM(V210*$D$9*E209/T210,W210*$D$9*E209/T209),2),ROUND(E209*$D$9*D210/T209,2))))</f>
        <v/>
      </c>
      <c r="H210" s="56" t="str">
        <f>IF(A209=$D$8,SUM($H$25:H209),IF(A209&gt;$D$8,"",F210+G210))</f>
        <v/>
      </c>
      <c r="I210" s="56" t="str">
        <f t="shared" si="63"/>
        <v/>
      </c>
      <c r="J210" s="56" t="str">
        <f t="shared" si="70"/>
        <v/>
      </c>
      <c r="K210" s="56"/>
      <c r="L210" s="56" t="str">
        <f t="shared" si="64"/>
        <v/>
      </c>
      <c r="M210" s="56" t="str">
        <f t="shared" si="57"/>
        <v/>
      </c>
      <c r="N210" s="56" t="str">
        <f t="shared" si="58"/>
        <v/>
      </c>
      <c r="P210" s="59" t="str">
        <f>IF(A209=$D$8,XIRR(H$24:H209,C$24:C209),"")</f>
        <v/>
      </c>
      <c r="Q210" s="56" t="str">
        <f t="shared" si="56"/>
        <v/>
      </c>
      <c r="R210" s="56">
        <f t="shared" si="53"/>
        <v>0</v>
      </c>
      <c r="S210" s="21" t="e">
        <f t="shared" ca="1" si="54"/>
        <v>#VALUE!</v>
      </c>
      <c r="T210" s="21" t="e">
        <f t="shared" ca="1" si="55"/>
        <v>#VALUE!</v>
      </c>
      <c r="U210" s="21" t="e">
        <f t="shared" ca="1" si="66"/>
        <v>#VALUE!</v>
      </c>
      <c r="V210" s="60" t="e">
        <f t="shared" ca="1" si="67"/>
        <v>#VALUE!</v>
      </c>
      <c r="W210" s="61" t="e">
        <f t="shared" ca="1" si="50"/>
        <v>#VALUE!</v>
      </c>
    </row>
    <row r="211" spans="1:23" x14ac:dyDescent="0.25">
      <c r="A211" s="58" t="str">
        <f t="shared" si="51"/>
        <v/>
      </c>
      <c r="B211" s="55" t="str">
        <f t="shared" si="62"/>
        <v/>
      </c>
      <c r="C211" s="55" t="str">
        <f t="shared" ca="1" si="52"/>
        <v xml:space="preserve"> </v>
      </c>
      <c r="D211" s="58" t="str">
        <f t="shared" si="60"/>
        <v/>
      </c>
      <c r="E211" s="56" t="str">
        <f t="shared" si="61"/>
        <v/>
      </c>
      <c r="F211" s="56" t="str">
        <f>IF(AND(A210="",A212=""),"",IF(A211="",ROUND(SUM($F$25:F210),2),IF(A211=$D$8,$E$24-ROUND(SUM($F$25:F210),2),ROUND($E$24/$D$8,2))))</f>
        <v/>
      </c>
      <c r="G211" s="56" t="str">
        <f>IF(A210=$D$8,ROUND(SUM($G$25:G210),2),IF(A211&gt;$D$8,"",IF(T211&lt;&gt;T210,ROUND(SUM(V211*$D$9*E210/T211,W211*$D$9*E210/T210),2),ROUND(E210*$D$9*D211/T210,2))))</f>
        <v/>
      </c>
      <c r="H211" s="56" t="str">
        <f>IF(A210=$D$8,SUM($H$25:H210),IF(A210&gt;$D$8,"",F211+G211))</f>
        <v/>
      </c>
      <c r="I211" s="56" t="str">
        <f t="shared" si="63"/>
        <v/>
      </c>
      <c r="J211" s="56" t="str">
        <f t="shared" si="70"/>
        <v/>
      </c>
      <c r="K211" s="56"/>
      <c r="L211" s="56" t="str">
        <f t="shared" si="64"/>
        <v/>
      </c>
      <c r="M211" s="56" t="str">
        <f t="shared" si="57"/>
        <v/>
      </c>
      <c r="N211" s="56" t="str">
        <f t="shared" si="58"/>
        <v/>
      </c>
      <c r="P211" s="59" t="str">
        <f>IF(A210=$D$8,XIRR(H$24:H210,C$24:C210),"")</f>
        <v/>
      </c>
      <c r="Q211" s="56" t="str">
        <f t="shared" si="56"/>
        <v/>
      </c>
      <c r="R211" s="56">
        <f t="shared" si="53"/>
        <v>0</v>
      </c>
      <c r="S211" s="21" t="e">
        <f t="shared" ca="1" si="54"/>
        <v>#VALUE!</v>
      </c>
      <c r="T211" s="21" t="e">
        <f t="shared" ca="1" si="55"/>
        <v>#VALUE!</v>
      </c>
      <c r="U211" s="21" t="e">
        <f t="shared" ca="1" si="66"/>
        <v>#VALUE!</v>
      </c>
      <c r="V211" s="60" t="e">
        <f t="shared" ca="1" si="67"/>
        <v>#VALUE!</v>
      </c>
      <c r="W211" s="61" t="e">
        <f t="shared" ca="1" si="50"/>
        <v>#VALUE!</v>
      </c>
    </row>
    <row r="212" spans="1:23" x14ac:dyDescent="0.25">
      <c r="A212" s="58" t="str">
        <f t="shared" si="51"/>
        <v/>
      </c>
      <c r="B212" s="55" t="str">
        <f t="shared" si="62"/>
        <v/>
      </c>
      <c r="C212" s="55" t="str">
        <f t="shared" ca="1" si="52"/>
        <v xml:space="preserve"> </v>
      </c>
      <c r="D212" s="58" t="str">
        <f t="shared" si="60"/>
        <v/>
      </c>
      <c r="E212" s="56" t="str">
        <f t="shared" si="61"/>
        <v/>
      </c>
      <c r="F212" s="56" t="str">
        <f>IF(AND(A211="",A213=""),"",IF(A212="",ROUND(SUM($F$25:F211),2),IF(A212=$D$8,$E$24-ROUND(SUM($F$25:F211),2),ROUND($E$24/$D$8,2))))</f>
        <v/>
      </c>
      <c r="G212" s="56" t="str">
        <f>IF(A211=$D$8,ROUND(SUM($G$25:G211),2),IF(A212&gt;$D$8,"",IF(T212&lt;&gt;T211,ROUND(SUM(V212*$D$9*E211/T212,W212*$D$9*E211/T211),2),ROUND(E211*$D$9*D212/T211,2))))</f>
        <v/>
      </c>
      <c r="H212" s="56" t="str">
        <f>IF(A211=$D$8,SUM($H$25:H211),IF(A211&gt;$D$8,"",F212+G212))</f>
        <v/>
      </c>
      <c r="I212" s="56" t="str">
        <f t="shared" si="63"/>
        <v/>
      </c>
      <c r="J212" s="56" t="str">
        <f t="shared" si="70"/>
        <v/>
      </c>
      <c r="K212" s="56"/>
      <c r="L212" s="56" t="str">
        <f t="shared" si="64"/>
        <v/>
      </c>
      <c r="M212" s="56" t="str">
        <f t="shared" si="57"/>
        <v/>
      </c>
      <c r="N212" s="56" t="str">
        <f t="shared" si="58"/>
        <v/>
      </c>
      <c r="P212" s="59" t="str">
        <f>IF(A211=$D$8,XIRR(H$24:H211,C$24:C211),"")</f>
        <v/>
      </c>
      <c r="Q212" s="56" t="str">
        <f t="shared" si="56"/>
        <v/>
      </c>
      <c r="R212" s="56">
        <f t="shared" si="53"/>
        <v>0</v>
      </c>
      <c r="S212" s="21" t="e">
        <f t="shared" ca="1" si="54"/>
        <v>#VALUE!</v>
      </c>
      <c r="T212" s="21" t="e">
        <f t="shared" ca="1" si="55"/>
        <v>#VALUE!</v>
      </c>
      <c r="U212" s="21" t="e">
        <f t="shared" ca="1" si="66"/>
        <v>#VALUE!</v>
      </c>
      <c r="V212" s="60" t="e">
        <f t="shared" ca="1" si="67"/>
        <v>#VALUE!</v>
      </c>
      <c r="W212" s="61" t="e">
        <f t="shared" ca="1" si="50"/>
        <v>#VALUE!</v>
      </c>
    </row>
    <row r="213" spans="1:23" x14ac:dyDescent="0.25">
      <c r="A213" s="58" t="str">
        <f t="shared" si="51"/>
        <v/>
      </c>
      <c r="B213" s="55" t="str">
        <f t="shared" si="62"/>
        <v/>
      </c>
      <c r="C213" s="55" t="str">
        <f t="shared" ca="1" si="52"/>
        <v xml:space="preserve"> </v>
      </c>
      <c r="D213" s="58" t="str">
        <f t="shared" si="60"/>
        <v/>
      </c>
      <c r="E213" s="56" t="str">
        <f t="shared" si="61"/>
        <v/>
      </c>
      <c r="F213" s="56" t="str">
        <f>IF(AND(A212="",A214=""),"",IF(A213="",ROUND(SUM($F$25:F212),2),IF(A213=$D$8,$E$24-ROUND(SUM($F$25:F212),2),ROUND($E$24/$D$8,2))))</f>
        <v/>
      </c>
      <c r="G213" s="56" t="str">
        <f>IF(A212=$D$8,ROUND(SUM($G$25:G212),2),IF(A213&gt;$D$8,"",IF(T213&lt;&gt;T212,ROUND(SUM(V213*$D$9*E212/T213,W213*$D$9*E212/T212),2),ROUND(E212*$D$9*D213/T212,2))))</f>
        <v/>
      </c>
      <c r="H213" s="56" t="str">
        <f>IF(A212=$D$8,SUM($H$25:H212),IF(A212&gt;$D$8,"",F213+G213))</f>
        <v/>
      </c>
      <c r="I213" s="56" t="str">
        <f t="shared" si="63"/>
        <v/>
      </c>
      <c r="J213" s="56" t="str">
        <f t="shared" si="70"/>
        <v/>
      </c>
      <c r="K213" s="56"/>
      <c r="L213" s="56" t="str">
        <f t="shared" si="64"/>
        <v/>
      </c>
      <c r="M213" s="56" t="str">
        <f t="shared" si="57"/>
        <v/>
      </c>
      <c r="N213" s="56" t="str">
        <f t="shared" si="58"/>
        <v/>
      </c>
      <c r="P213" s="59" t="str">
        <f>IF(A212=$D$8,XIRR(H$24:H212,C$24:C212),"")</f>
        <v/>
      </c>
      <c r="Q213" s="56" t="str">
        <f t="shared" si="56"/>
        <v/>
      </c>
      <c r="R213" s="56">
        <f t="shared" si="53"/>
        <v>0</v>
      </c>
      <c r="S213" s="21" t="e">
        <f t="shared" ca="1" si="54"/>
        <v>#VALUE!</v>
      </c>
      <c r="T213" s="21" t="e">
        <f t="shared" ca="1" si="55"/>
        <v>#VALUE!</v>
      </c>
      <c r="U213" s="21" t="e">
        <f t="shared" ca="1" si="66"/>
        <v>#VALUE!</v>
      </c>
      <c r="V213" s="60" t="e">
        <f t="shared" ca="1" si="67"/>
        <v>#VALUE!</v>
      </c>
      <c r="W213" s="61" t="e">
        <f t="shared" ref="W213:W264" ca="1" si="71">D213-V213</f>
        <v>#VALUE!</v>
      </c>
    </row>
    <row r="214" spans="1:23" x14ac:dyDescent="0.25">
      <c r="A214" s="58" t="str">
        <f t="shared" si="51"/>
        <v/>
      </c>
      <c r="B214" s="55" t="str">
        <f t="shared" si="62"/>
        <v/>
      </c>
      <c r="C214" s="55" t="str">
        <f t="shared" ca="1" si="52"/>
        <v xml:space="preserve"> </v>
      </c>
      <c r="D214" s="58" t="str">
        <f t="shared" si="60"/>
        <v/>
      </c>
      <c r="E214" s="56" t="str">
        <f t="shared" si="61"/>
        <v/>
      </c>
      <c r="F214" s="56" t="str">
        <f>IF(AND(A213="",A215=""),"",IF(A214="",ROUND(SUM($F$25:F213),2),IF(A214=$D$8,$E$24-ROUND(SUM($F$25:F213),2),ROUND($E$24/$D$8,2))))</f>
        <v/>
      </c>
      <c r="G214" s="56" t="str">
        <f>IF(A213=$D$8,ROUND(SUM($G$25:G213),2),IF(A214&gt;$D$8,"",IF(T214&lt;&gt;T213,ROUND(SUM(V214*$D$9*E213/T214,W214*$D$9*E213/T213),2),ROUND(E213*$D$9*D214/T213,2))))</f>
        <v/>
      </c>
      <c r="H214" s="56" t="str">
        <f>IF(A213=$D$8,SUM($H$25:H213),IF(A213&gt;$D$8,"",F214+G214))</f>
        <v/>
      </c>
      <c r="I214" s="56" t="str">
        <f t="shared" si="63"/>
        <v/>
      </c>
      <c r="J214" s="56" t="str">
        <f t="shared" si="70"/>
        <v/>
      </c>
      <c r="K214" s="56"/>
      <c r="L214" s="56" t="str">
        <f t="shared" si="64"/>
        <v/>
      </c>
      <c r="M214" s="56" t="str">
        <f t="shared" si="57"/>
        <v/>
      </c>
      <c r="N214" s="56" t="str">
        <f t="shared" si="58"/>
        <v/>
      </c>
      <c r="P214" s="59" t="str">
        <f>IF(A213=$D$8,XIRR(H$24:H213,C$24:C213),"")</f>
        <v/>
      </c>
      <c r="Q214" s="56" t="str">
        <f t="shared" si="56"/>
        <v/>
      </c>
      <c r="R214" s="56">
        <f t="shared" si="53"/>
        <v>0</v>
      </c>
      <c r="S214" s="21" t="e">
        <f t="shared" ca="1" si="54"/>
        <v>#VALUE!</v>
      </c>
      <c r="T214" s="21" t="e">
        <f t="shared" ca="1" si="55"/>
        <v>#VALUE!</v>
      </c>
      <c r="U214" s="21" t="e">
        <f t="shared" ca="1" si="66"/>
        <v>#VALUE!</v>
      </c>
      <c r="V214" s="60" t="e">
        <f t="shared" ca="1" si="67"/>
        <v>#VALUE!</v>
      </c>
      <c r="W214" s="61" t="e">
        <f t="shared" ca="1" si="71"/>
        <v>#VALUE!</v>
      </c>
    </row>
    <row r="215" spans="1:23" x14ac:dyDescent="0.25">
      <c r="A215" s="58" t="str">
        <f t="shared" si="51"/>
        <v/>
      </c>
      <c r="B215" s="55" t="str">
        <f t="shared" si="62"/>
        <v/>
      </c>
      <c r="C215" s="55" t="str">
        <f t="shared" ca="1" si="52"/>
        <v xml:space="preserve"> </v>
      </c>
      <c r="D215" s="58" t="str">
        <f t="shared" si="60"/>
        <v/>
      </c>
      <c r="E215" s="56" t="str">
        <f t="shared" si="61"/>
        <v/>
      </c>
      <c r="F215" s="56" t="str">
        <f>IF(AND(A214="",A216=""),"",IF(A215="",ROUND(SUM($F$25:F214),2),IF(A215=$D$8,$E$24-ROUND(SUM($F$25:F214),2),ROUND($E$24/$D$8,2))))</f>
        <v/>
      </c>
      <c r="G215" s="56" t="str">
        <f>IF(A214=$D$8,ROUND(SUM($G$25:G214),2),IF(A215&gt;$D$8,"",IF(T215&lt;&gt;T214,ROUND(SUM(V215*$D$9*E214/T215,W215*$D$9*E214/T214),2),ROUND(E214*$D$9*D215/T214,2))))</f>
        <v/>
      </c>
      <c r="H215" s="56" t="str">
        <f>IF(A214=$D$8,SUM($H$25:H214),IF(A214&gt;$D$8,"",F215+G215))</f>
        <v/>
      </c>
      <c r="I215" s="56" t="str">
        <f t="shared" si="63"/>
        <v/>
      </c>
      <c r="J215" s="56" t="str">
        <f t="shared" si="70"/>
        <v/>
      </c>
      <c r="K215" s="56"/>
      <c r="L215" s="56" t="str">
        <f t="shared" si="64"/>
        <v/>
      </c>
      <c r="M215" s="56" t="str">
        <f t="shared" si="57"/>
        <v/>
      </c>
      <c r="N215" s="56" t="str">
        <f t="shared" si="58"/>
        <v/>
      </c>
      <c r="P215" s="59" t="str">
        <f>IF(A214=$D$8,XIRR(H$24:H214,C$24:C214),"")</f>
        <v/>
      </c>
      <c r="Q215" s="56" t="str">
        <f t="shared" si="56"/>
        <v/>
      </c>
      <c r="R215" s="56">
        <f t="shared" si="53"/>
        <v>0</v>
      </c>
      <c r="S215" s="21" t="e">
        <f t="shared" ca="1" si="54"/>
        <v>#VALUE!</v>
      </c>
      <c r="T215" s="21" t="e">
        <f t="shared" ca="1" si="55"/>
        <v>#VALUE!</v>
      </c>
      <c r="U215" s="21" t="e">
        <f t="shared" ca="1" si="66"/>
        <v>#VALUE!</v>
      </c>
      <c r="V215" s="60" t="e">
        <f t="shared" ca="1" si="67"/>
        <v>#VALUE!</v>
      </c>
      <c r="W215" s="61" t="e">
        <f t="shared" ca="1" si="71"/>
        <v>#VALUE!</v>
      </c>
    </row>
    <row r="216" spans="1:23" x14ac:dyDescent="0.25">
      <c r="A216" s="58" t="str">
        <f t="shared" si="51"/>
        <v/>
      </c>
      <c r="B216" s="55" t="str">
        <f t="shared" si="62"/>
        <v/>
      </c>
      <c r="C216" s="55" t="str">
        <f t="shared" ca="1" si="52"/>
        <v xml:space="preserve"> </v>
      </c>
      <c r="D216" s="58" t="str">
        <f t="shared" si="60"/>
        <v/>
      </c>
      <c r="E216" s="56" t="str">
        <f t="shared" si="61"/>
        <v/>
      </c>
      <c r="F216" s="56" t="str">
        <f>IF(AND(A215="",A217=""),"",IF(A216="",ROUND(SUM($F$25:F215),2),IF(A216=$D$8,$E$24-ROUND(SUM($F$25:F215),2),ROUND($E$24/$D$8,2))))</f>
        <v/>
      </c>
      <c r="G216" s="56" t="str">
        <f>IF(A215=$D$8,ROUND(SUM($G$25:G215),2),IF(A216&gt;$D$8,"",IF(T216&lt;&gt;T215,ROUND(SUM(V216*$D$9*E215/T216,W216*$D$9*E215/T215),2),ROUND(E215*$D$9*D216/T215,2))))</f>
        <v/>
      </c>
      <c r="H216" s="56" t="str">
        <f>IF(A215=$D$8,SUM($H$25:H215),IF(A215&gt;$D$8,"",F216+G216))</f>
        <v/>
      </c>
      <c r="I216" s="56" t="str">
        <f t="shared" si="63"/>
        <v/>
      </c>
      <c r="J216" s="56" t="str">
        <f t="shared" si="70"/>
        <v/>
      </c>
      <c r="K216" s="56"/>
      <c r="L216" s="56" t="str">
        <f t="shared" si="64"/>
        <v/>
      </c>
      <c r="M216" s="56" t="str">
        <f t="shared" si="57"/>
        <v/>
      </c>
      <c r="N216" s="56" t="str">
        <f t="shared" si="58"/>
        <v/>
      </c>
      <c r="P216" s="59" t="str">
        <f>IF(A215=$D$8,XIRR(H$24:H215,C$24:C215),"")</f>
        <v/>
      </c>
      <c r="Q216" s="56" t="str">
        <f t="shared" si="56"/>
        <v/>
      </c>
      <c r="R216" s="56">
        <f t="shared" si="53"/>
        <v>0</v>
      </c>
      <c r="S216" s="21" t="e">
        <f t="shared" ca="1" si="54"/>
        <v>#VALUE!</v>
      </c>
      <c r="T216" s="21" t="e">
        <f t="shared" ca="1" si="55"/>
        <v>#VALUE!</v>
      </c>
      <c r="U216" s="21" t="e">
        <f t="shared" ca="1" si="66"/>
        <v>#VALUE!</v>
      </c>
      <c r="V216" s="60" t="e">
        <f t="shared" ca="1" si="67"/>
        <v>#VALUE!</v>
      </c>
      <c r="W216" s="61" t="e">
        <f t="shared" ca="1" si="71"/>
        <v>#VALUE!</v>
      </c>
    </row>
    <row r="217" spans="1:23" x14ac:dyDescent="0.25">
      <c r="A217" s="58" t="str">
        <f t="shared" si="51"/>
        <v/>
      </c>
      <c r="B217" s="55" t="str">
        <f t="shared" si="62"/>
        <v/>
      </c>
      <c r="C217" s="55" t="str">
        <f t="shared" ca="1" si="52"/>
        <v xml:space="preserve"> </v>
      </c>
      <c r="D217" s="58" t="str">
        <f t="shared" si="60"/>
        <v/>
      </c>
      <c r="E217" s="56" t="str">
        <f t="shared" si="61"/>
        <v/>
      </c>
      <c r="F217" s="56" t="str">
        <f>IF(AND(A216="",A218=""),"",IF(A217="",ROUND(SUM($F$25:F216),2),IF(A217=$D$8,$E$24-ROUND(SUM($F$25:F216),2),ROUND($E$24/$D$8,2))))</f>
        <v/>
      </c>
      <c r="G217" s="56" t="str">
        <f>IF(A216=$D$8,ROUND(SUM($G$25:G216),2),IF(A217&gt;$D$8,"",IF(T217&lt;&gt;T216,ROUND(SUM(V217*$D$9*E216/T217,W217*$D$9*E216/T216),2),ROUND(E216*$D$9*D217/T216,2))))</f>
        <v/>
      </c>
      <c r="H217" s="56" t="str">
        <f>IF(A216=$D$8,SUM($H$25:H216),IF(A216&gt;$D$8,"",F217+G217))</f>
        <v/>
      </c>
      <c r="I217" s="56" t="str">
        <f t="shared" si="63"/>
        <v/>
      </c>
      <c r="J217" s="56" t="str">
        <f>IF($D$8&gt;A216,$N$9,IF($D$8=A216,SUM($J$24:J216)," "))</f>
        <v xml:space="preserve"> </v>
      </c>
      <c r="K217" s="56" t="str">
        <f>IF($D$8&gt;A216,($O$8+$N$10*E216),IF(A216=$D$8,$K$37+$K$24+$K$49+$K$61+$K$73+$K$85+$K$97+$K$109+$K$121+$K$133+$K$145+$K$157+$K$169+$K$181+$K$193+$K$205,""))</f>
        <v/>
      </c>
      <c r="L217" s="56" t="str">
        <f t="shared" si="64"/>
        <v/>
      </c>
      <c r="M217" s="56" t="str">
        <f t="shared" si="57"/>
        <v/>
      </c>
      <c r="N217" s="56" t="str">
        <f t="shared" si="58"/>
        <v/>
      </c>
      <c r="P217" s="59" t="str">
        <f>IF(A216=$D$8,XIRR(H$24:H216,C$24:C216),"")</f>
        <v/>
      </c>
      <c r="Q217" s="56" t="str">
        <f t="shared" si="56"/>
        <v/>
      </c>
      <c r="R217" s="56">
        <f t="shared" si="53"/>
        <v>0</v>
      </c>
      <c r="S217" s="21" t="e">
        <f t="shared" ca="1" si="54"/>
        <v>#VALUE!</v>
      </c>
      <c r="T217" s="21" t="e">
        <f t="shared" ca="1" si="55"/>
        <v>#VALUE!</v>
      </c>
      <c r="U217" s="21" t="e">
        <f t="shared" ca="1" si="66"/>
        <v>#VALUE!</v>
      </c>
      <c r="V217" s="60" t="e">
        <f t="shared" ca="1" si="67"/>
        <v>#VALUE!</v>
      </c>
      <c r="W217" s="61" t="e">
        <f t="shared" ca="1" si="71"/>
        <v>#VALUE!</v>
      </c>
    </row>
    <row r="218" spans="1:23" x14ac:dyDescent="0.25">
      <c r="A218" s="58" t="str">
        <f t="shared" ref="A218:A261" si="72">IF(A217&lt;$D$8,A217+1,"")</f>
        <v/>
      </c>
      <c r="B218" s="55" t="str">
        <f t="shared" si="62"/>
        <v/>
      </c>
      <c r="C218" s="55" t="str">
        <f t="shared" ref="C218:C264" ca="1" si="73">IF(B218=$D$10,B218-1,(IF(B218&gt;$D$10," ",B218)))</f>
        <v xml:space="preserve"> </v>
      </c>
      <c r="D218" s="58" t="str">
        <f t="shared" si="60"/>
        <v/>
      </c>
      <c r="E218" s="56" t="str">
        <f t="shared" si="61"/>
        <v/>
      </c>
      <c r="F218" s="56" t="str">
        <f>IF(AND(A217="",A219=""),"",IF(A218="",ROUND(SUM($F$25:F217),2),IF(A218=$D$8,$E$24-ROUND(SUM($F$25:F217),2),ROUND($E$24/$D$8,2))))</f>
        <v/>
      </c>
      <c r="G218" s="56" t="str">
        <f>IF(A217=$D$8,ROUND(SUM($G$25:G217),2),IF(A218&gt;$D$8,"",IF(T218&lt;&gt;T217,ROUND(SUM(V218*$D$9*E217/T218,W218*$D$9*E217/T217),2),ROUND(E217*$D$9*D218/T217,2))))</f>
        <v/>
      </c>
      <c r="H218" s="56" t="str">
        <f>IF(A217=$D$8,SUM($H$25:H217),IF(A217&gt;$D$8,"",F218+G218))</f>
        <v/>
      </c>
      <c r="I218" s="56" t="str">
        <f t="shared" si="63"/>
        <v/>
      </c>
      <c r="J218" s="56" t="str">
        <f t="shared" ref="J218:J228" si="74">IF(A217=$D$8,$J$24,"")</f>
        <v/>
      </c>
      <c r="K218" s="56"/>
      <c r="L218" s="56" t="str">
        <f t="shared" si="64"/>
        <v/>
      </c>
      <c r="M218" s="56" t="str">
        <f t="shared" si="57"/>
        <v/>
      </c>
      <c r="N218" s="56" t="str">
        <f t="shared" si="58"/>
        <v/>
      </c>
      <c r="P218" s="59" t="str">
        <f>IF(A217=$D$8,XIRR(H$24:H217,C$24:C217),"")</f>
        <v/>
      </c>
      <c r="Q218" s="56" t="str">
        <f t="shared" si="56"/>
        <v/>
      </c>
      <c r="R218" s="56">
        <f t="shared" ref="R218:R264" si="75">SUM(H218:Q218)</f>
        <v>0</v>
      </c>
      <c r="S218" s="21" t="e">
        <f t="shared" ref="S218:S265" ca="1" si="76">IF(C218="","",YEAR(C218))</f>
        <v>#VALUE!</v>
      </c>
      <c r="T218" s="21" t="e">
        <f t="shared" ref="T218:T264" ca="1" si="77">IF(OR(S218=2024,S218=2028,S218=2016,S218=2020,S218=2024,S218=2028,S218=2032,S218=2036,S218=2040),366,365)</f>
        <v>#VALUE!</v>
      </c>
      <c r="U218" s="21" t="e">
        <f t="shared" ca="1" si="66"/>
        <v>#VALUE!</v>
      </c>
      <c r="V218" s="60" t="e">
        <f t="shared" ca="1" si="67"/>
        <v>#VALUE!</v>
      </c>
      <c r="W218" s="61" t="e">
        <f t="shared" ca="1" si="71"/>
        <v>#VALUE!</v>
      </c>
    </row>
    <row r="219" spans="1:23" x14ac:dyDescent="0.25">
      <c r="A219" s="58" t="str">
        <f t="shared" si="72"/>
        <v/>
      </c>
      <c r="B219" s="55" t="str">
        <f t="shared" si="62"/>
        <v/>
      </c>
      <c r="C219" s="55" t="str">
        <f t="shared" ca="1" si="73"/>
        <v xml:space="preserve"> </v>
      </c>
      <c r="D219" s="58" t="str">
        <f t="shared" si="60"/>
        <v/>
      </c>
      <c r="E219" s="56" t="str">
        <f t="shared" si="61"/>
        <v/>
      </c>
      <c r="F219" s="56" t="str">
        <f>IF(AND(A218="",A220=""),"",IF(A219="",ROUND(SUM($F$25:F218),2),IF(A219=$D$8,$E$24-ROUND(SUM($F$25:F218),2),ROUND($E$24/$D$8,2))))</f>
        <v/>
      </c>
      <c r="G219" s="56" t="str">
        <f>IF(A218=$D$8,ROUND(SUM($G$25:G218),2),IF(A219&gt;$D$8,"",IF(T219&lt;&gt;T218,ROUND(SUM(V219*$D$9*E218/T219,W219*$D$9*E218/T218),2),ROUND(E218*$D$9*D219/T218,2))))</f>
        <v/>
      </c>
      <c r="H219" s="56" t="str">
        <f>IF(A218=$D$8,SUM($H$25:H218),IF(A218&gt;$D$8,"",F219+G219))</f>
        <v/>
      </c>
      <c r="I219" s="56" t="str">
        <f t="shared" si="63"/>
        <v/>
      </c>
      <c r="J219" s="56" t="str">
        <f t="shared" si="74"/>
        <v/>
      </c>
      <c r="K219" s="56"/>
      <c r="L219" s="56" t="str">
        <f t="shared" si="64"/>
        <v/>
      </c>
      <c r="M219" s="56" t="str">
        <f t="shared" si="57"/>
        <v/>
      </c>
      <c r="N219" s="56" t="str">
        <f t="shared" si="58"/>
        <v/>
      </c>
      <c r="P219" s="59" t="str">
        <f>IF(A218=$D$8,XIRR(H$24:H218,C$24:C218),"")</f>
        <v/>
      </c>
      <c r="Q219" s="56" t="str">
        <f t="shared" ref="Q219:Q265" si="78">IF(A218=$D$8,G219+M219+F219+I219+J219+K219+L219+N219+O219,"")</f>
        <v/>
      </c>
      <c r="R219" s="56">
        <f t="shared" si="75"/>
        <v>0</v>
      </c>
      <c r="S219" s="21" t="e">
        <f t="shared" ca="1" si="76"/>
        <v>#VALUE!</v>
      </c>
      <c r="T219" s="21" t="e">
        <f t="shared" ca="1" si="77"/>
        <v>#VALUE!</v>
      </c>
      <c r="U219" s="21" t="e">
        <f t="shared" ca="1" si="66"/>
        <v>#VALUE!</v>
      </c>
      <c r="V219" s="60" t="e">
        <f t="shared" ca="1" si="67"/>
        <v>#VALUE!</v>
      </c>
      <c r="W219" s="61" t="e">
        <f t="shared" ca="1" si="71"/>
        <v>#VALUE!</v>
      </c>
    </row>
    <row r="220" spans="1:23" x14ac:dyDescent="0.25">
      <c r="A220" s="58" t="str">
        <f t="shared" si="72"/>
        <v/>
      </c>
      <c r="B220" s="55" t="str">
        <f t="shared" si="62"/>
        <v/>
      </c>
      <c r="C220" s="55" t="str">
        <f t="shared" ca="1" si="73"/>
        <v xml:space="preserve"> </v>
      </c>
      <c r="D220" s="58" t="str">
        <f t="shared" si="60"/>
        <v/>
      </c>
      <c r="E220" s="56" t="str">
        <f t="shared" si="61"/>
        <v/>
      </c>
      <c r="F220" s="56" t="str">
        <f>IF(AND(A219="",A221=""),"",IF(A220="",ROUND(SUM($F$25:F219),2),IF(A220=$D$8,$E$24-ROUND(SUM($F$25:F219),2),ROUND($E$24/$D$8,2))))</f>
        <v/>
      </c>
      <c r="G220" s="56" t="str">
        <f>IF(A219=$D$8,ROUND(SUM($G$25:G219),2),IF(A220&gt;$D$8,"",IF(T220&lt;&gt;T219,ROUND(SUM(V220*$D$9*E219/T220,W220*$D$9*E219/T219),2),ROUND(E219*$D$9*D220/T219,2))))</f>
        <v/>
      </c>
      <c r="H220" s="56" t="str">
        <f>IF(A219=$D$8,SUM($H$25:H219),IF(A219&gt;$D$8,"",F220+G220))</f>
        <v/>
      </c>
      <c r="I220" s="56" t="str">
        <f t="shared" si="63"/>
        <v/>
      </c>
      <c r="J220" s="56" t="str">
        <f t="shared" si="74"/>
        <v/>
      </c>
      <c r="K220" s="56"/>
      <c r="L220" s="56" t="str">
        <f t="shared" si="64"/>
        <v/>
      </c>
      <c r="M220" s="56" t="str">
        <f t="shared" ref="M220:M265" si="79">IF(A219=$D$8,$M$24,"")</f>
        <v/>
      </c>
      <c r="N220" s="56" t="str">
        <f t="shared" si="58"/>
        <v/>
      </c>
      <c r="P220" s="59" t="str">
        <f>IF(A219=$D$8,XIRR(H$24:H219,C$24:C219),"")</f>
        <v/>
      </c>
      <c r="Q220" s="56" t="str">
        <f t="shared" si="78"/>
        <v/>
      </c>
      <c r="R220" s="56">
        <f t="shared" si="75"/>
        <v>0</v>
      </c>
      <c r="S220" s="21" t="e">
        <f t="shared" ca="1" si="76"/>
        <v>#VALUE!</v>
      </c>
      <c r="T220" s="21" t="e">
        <f t="shared" ca="1" si="77"/>
        <v>#VALUE!</v>
      </c>
      <c r="U220" s="21" t="e">
        <f t="shared" ca="1" si="66"/>
        <v>#VALUE!</v>
      </c>
      <c r="V220" s="60" t="e">
        <f t="shared" ca="1" si="67"/>
        <v>#VALUE!</v>
      </c>
      <c r="W220" s="61" t="e">
        <f t="shared" ca="1" si="71"/>
        <v>#VALUE!</v>
      </c>
    </row>
    <row r="221" spans="1:23" x14ac:dyDescent="0.25">
      <c r="A221" s="58" t="str">
        <f t="shared" si="72"/>
        <v/>
      </c>
      <c r="B221" s="55" t="str">
        <f t="shared" si="62"/>
        <v/>
      </c>
      <c r="C221" s="55" t="str">
        <f t="shared" ca="1" si="73"/>
        <v xml:space="preserve"> </v>
      </c>
      <c r="D221" s="58" t="str">
        <f t="shared" si="60"/>
        <v/>
      </c>
      <c r="E221" s="56" t="str">
        <f t="shared" si="61"/>
        <v/>
      </c>
      <c r="F221" s="56" t="str">
        <f>IF(AND(A220="",A222=""),"",IF(A221="",ROUND(SUM($F$25:F220),2),IF(A221=$D$8,$E$24-ROUND(SUM($F$25:F220),2),ROUND($E$24/$D$8,2))))</f>
        <v/>
      </c>
      <c r="G221" s="56" t="str">
        <f>IF(A220=$D$8,ROUND(SUM($G$25:G220),2),IF(A221&gt;$D$8,"",IF(T221&lt;&gt;T220,ROUND(SUM(V221*$D$9*E220/T221,W221*$D$9*E220/T220),2),ROUND(E220*$D$9*D221/T220,2))))</f>
        <v/>
      </c>
      <c r="H221" s="56" t="str">
        <f>IF(A220=$D$8,SUM($H$25:H220),IF(A220&gt;$D$8,"",F221+G221))</f>
        <v/>
      </c>
      <c r="I221" s="56" t="str">
        <f t="shared" si="63"/>
        <v/>
      </c>
      <c r="J221" s="56" t="str">
        <f t="shared" si="74"/>
        <v/>
      </c>
      <c r="K221" s="56"/>
      <c r="L221" s="56" t="str">
        <f t="shared" si="64"/>
        <v/>
      </c>
      <c r="M221" s="56" t="str">
        <f t="shared" si="79"/>
        <v/>
      </c>
      <c r="N221" s="56" t="str">
        <f t="shared" ref="N221:N265" si="80">IF(A220=$D$8,$N$24,"")</f>
        <v/>
      </c>
      <c r="P221" s="59" t="str">
        <f>IF(A220=$D$8,XIRR(H$24:H220,C$24:C220),"")</f>
        <v/>
      </c>
      <c r="Q221" s="56" t="str">
        <f t="shared" si="78"/>
        <v/>
      </c>
      <c r="R221" s="56">
        <f t="shared" si="75"/>
        <v>0</v>
      </c>
      <c r="S221" s="21" t="e">
        <f t="shared" ca="1" si="76"/>
        <v>#VALUE!</v>
      </c>
      <c r="T221" s="21" t="e">
        <f t="shared" ca="1" si="77"/>
        <v>#VALUE!</v>
      </c>
      <c r="U221" s="21" t="e">
        <f t="shared" ca="1" si="66"/>
        <v>#VALUE!</v>
      </c>
      <c r="V221" s="60" t="e">
        <f t="shared" ca="1" si="67"/>
        <v>#VALUE!</v>
      </c>
      <c r="W221" s="61" t="e">
        <f t="shared" ca="1" si="71"/>
        <v>#VALUE!</v>
      </c>
    </row>
    <row r="222" spans="1:23" x14ac:dyDescent="0.25">
      <c r="A222" s="58" t="str">
        <f t="shared" si="72"/>
        <v/>
      </c>
      <c r="B222" s="55" t="str">
        <f t="shared" si="62"/>
        <v/>
      </c>
      <c r="C222" s="55" t="str">
        <f t="shared" ca="1" si="73"/>
        <v xml:space="preserve"> </v>
      </c>
      <c r="D222" s="58" t="str">
        <f t="shared" si="60"/>
        <v/>
      </c>
      <c r="E222" s="56" t="str">
        <f t="shared" si="61"/>
        <v/>
      </c>
      <c r="F222" s="56" t="str">
        <f>IF(AND(A221="",A223=""),"",IF(A222="",ROUND(SUM($F$25:F221),2),IF(A222=$D$8,$E$24-ROUND(SUM($F$25:F221),2),ROUND($E$24/$D$8,2))))</f>
        <v/>
      </c>
      <c r="G222" s="56" t="str">
        <f>IF(A221=$D$8,ROUND(SUM($G$25:G221),2),IF(A222&gt;$D$8,"",IF(T222&lt;&gt;T221,ROUND(SUM(V222*$D$9*E221/T222,W222*$D$9*E221/T221),2),ROUND(E221*$D$9*D222/T221,2))))</f>
        <v/>
      </c>
      <c r="H222" s="56" t="str">
        <f>IF(A221=$D$8,SUM($H$25:H221),IF(A221&gt;$D$8,"",F222+G222))</f>
        <v/>
      </c>
      <c r="I222" s="56" t="str">
        <f t="shared" si="63"/>
        <v/>
      </c>
      <c r="J222" s="56" t="str">
        <f t="shared" si="74"/>
        <v/>
      </c>
      <c r="K222" s="56"/>
      <c r="L222" s="56" t="str">
        <f t="shared" si="64"/>
        <v/>
      </c>
      <c r="M222" s="56" t="str">
        <f t="shared" si="79"/>
        <v/>
      </c>
      <c r="N222" s="56" t="str">
        <f t="shared" si="80"/>
        <v/>
      </c>
      <c r="P222" s="59" t="str">
        <f>IF(A221=$D$8,XIRR(H$24:H221,C$24:C221),"")</f>
        <v/>
      </c>
      <c r="Q222" s="56" t="str">
        <f t="shared" si="78"/>
        <v/>
      </c>
      <c r="R222" s="56">
        <f t="shared" si="75"/>
        <v>0</v>
      </c>
      <c r="S222" s="21" t="e">
        <f t="shared" ca="1" si="76"/>
        <v>#VALUE!</v>
      </c>
      <c r="T222" s="21" t="e">
        <f t="shared" ca="1" si="77"/>
        <v>#VALUE!</v>
      </c>
      <c r="U222" s="21" t="e">
        <f t="shared" ca="1" si="66"/>
        <v>#VALUE!</v>
      </c>
      <c r="V222" s="60" t="e">
        <f t="shared" ca="1" si="67"/>
        <v>#VALUE!</v>
      </c>
      <c r="W222" s="61" t="e">
        <f t="shared" ca="1" si="71"/>
        <v>#VALUE!</v>
      </c>
    </row>
    <row r="223" spans="1:23" x14ac:dyDescent="0.25">
      <c r="A223" s="58" t="str">
        <f t="shared" si="72"/>
        <v/>
      </c>
      <c r="B223" s="55" t="str">
        <f t="shared" si="62"/>
        <v/>
      </c>
      <c r="C223" s="55" t="str">
        <f t="shared" ca="1" si="73"/>
        <v xml:space="preserve"> </v>
      </c>
      <c r="D223" s="58" t="str">
        <f t="shared" si="60"/>
        <v/>
      </c>
      <c r="E223" s="56" t="str">
        <f t="shared" si="61"/>
        <v/>
      </c>
      <c r="F223" s="56" t="str">
        <f>IF(AND(A222="",A224=""),"",IF(A223="",ROUND(SUM($F$25:F222),2),IF(A223=$D$8,$E$24-ROUND(SUM($F$25:F222),2),ROUND($E$24/$D$8,2))))</f>
        <v/>
      </c>
      <c r="G223" s="56" t="str">
        <f>IF(A222=$D$8,ROUND(SUM($G$25:G222),2),IF(A223&gt;$D$8,"",IF(T223&lt;&gt;T222,ROUND(SUM(V223*$D$9*E222/T223,W223*$D$9*E222/T222),2),ROUND(E222*$D$9*D223/T222,2))))</f>
        <v/>
      </c>
      <c r="H223" s="56" t="str">
        <f>IF(A222=$D$8,SUM($H$25:H222),IF(A222&gt;$D$8,"",F223+G223))</f>
        <v/>
      </c>
      <c r="I223" s="56" t="str">
        <f t="shared" si="63"/>
        <v/>
      </c>
      <c r="J223" s="56" t="str">
        <f t="shared" si="74"/>
        <v/>
      </c>
      <c r="K223" s="56"/>
      <c r="L223" s="56" t="str">
        <f t="shared" si="64"/>
        <v/>
      </c>
      <c r="M223" s="56" t="str">
        <f t="shared" si="79"/>
        <v/>
      </c>
      <c r="N223" s="56" t="str">
        <f t="shared" si="80"/>
        <v/>
      </c>
      <c r="P223" s="59" t="str">
        <f>IF(A222=$D$8,XIRR(H$24:H222,C$24:C222),"")</f>
        <v/>
      </c>
      <c r="Q223" s="56" t="str">
        <f t="shared" si="78"/>
        <v/>
      </c>
      <c r="R223" s="56">
        <f t="shared" si="75"/>
        <v>0</v>
      </c>
      <c r="S223" s="21" t="e">
        <f t="shared" ca="1" si="76"/>
        <v>#VALUE!</v>
      </c>
      <c r="T223" s="21" t="e">
        <f t="shared" ca="1" si="77"/>
        <v>#VALUE!</v>
      </c>
      <c r="U223" s="21" t="e">
        <f t="shared" ca="1" si="66"/>
        <v>#VALUE!</v>
      </c>
      <c r="V223" s="60" t="e">
        <f t="shared" ca="1" si="67"/>
        <v>#VALUE!</v>
      </c>
      <c r="W223" s="61" t="e">
        <f t="shared" ca="1" si="71"/>
        <v>#VALUE!</v>
      </c>
    </row>
    <row r="224" spans="1:23" x14ac:dyDescent="0.25">
      <c r="A224" s="58" t="str">
        <f t="shared" si="72"/>
        <v/>
      </c>
      <c r="B224" s="55" t="str">
        <f t="shared" si="62"/>
        <v/>
      </c>
      <c r="C224" s="55" t="str">
        <f t="shared" ca="1" si="73"/>
        <v xml:space="preserve"> </v>
      </c>
      <c r="D224" s="58" t="str">
        <f t="shared" si="60"/>
        <v/>
      </c>
      <c r="E224" s="56" t="str">
        <f t="shared" si="61"/>
        <v/>
      </c>
      <c r="F224" s="56" t="str">
        <f>IF(AND(A223="",A225=""),"",IF(A224="",ROUND(SUM($F$25:F223),2),IF(A224=$D$8,$E$24-ROUND(SUM($F$25:F223),2),ROUND($E$24/$D$8,2))))</f>
        <v/>
      </c>
      <c r="G224" s="56" t="str">
        <f>IF(A223=$D$8,ROUND(SUM($G$25:G223),2),IF(A224&gt;$D$8,"",IF(T224&lt;&gt;T223,ROUND(SUM(V224*$D$9*E223/T224,W224*$D$9*E223/T223),2),ROUND(E223*$D$9*D224/T223,2))))</f>
        <v/>
      </c>
      <c r="H224" s="56" t="str">
        <f>IF(A223=$D$8,SUM($H$25:H223),IF(A223&gt;$D$8,"",F224+G224))</f>
        <v/>
      </c>
      <c r="I224" s="56" t="str">
        <f t="shared" si="63"/>
        <v/>
      </c>
      <c r="J224" s="56" t="str">
        <f t="shared" si="74"/>
        <v/>
      </c>
      <c r="K224" s="56"/>
      <c r="L224" s="56" t="str">
        <f t="shared" si="64"/>
        <v/>
      </c>
      <c r="M224" s="56" t="str">
        <f t="shared" si="79"/>
        <v/>
      </c>
      <c r="N224" s="56" t="str">
        <f t="shared" si="80"/>
        <v/>
      </c>
      <c r="P224" s="59" t="str">
        <f>IF(A223=$D$8,XIRR(H$24:H223,C$24:C223),"")</f>
        <v/>
      </c>
      <c r="Q224" s="56" t="str">
        <f t="shared" si="78"/>
        <v/>
      </c>
      <c r="R224" s="56">
        <f t="shared" si="75"/>
        <v>0</v>
      </c>
      <c r="S224" s="21" t="e">
        <f t="shared" ca="1" si="76"/>
        <v>#VALUE!</v>
      </c>
      <c r="T224" s="21" t="e">
        <f t="shared" ca="1" si="77"/>
        <v>#VALUE!</v>
      </c>
      <c r="U224" s="21" t="e">
        <f t="shared" ca="1" si="66"/>
        <v>#VALUE!</v>
      </c>
      <c r="V224" s="60" t="e">
        <f t="shared" ca="1" si="67"/>
        <v>#VALUE!</v>
      </c>
      <c r="W224" s="61" t="e">
        <f t="shared" ca="1" si="71"/>
        <v>#VALUE!</v>
      </c>
    </row>
    <row r="225" spans="1:23" x14ac:dyDescent="0.25">
      <c r="A225" s="58" t="str">
        <f t="shared" si="72"/>
        <v/>
      </c>
      <c r="B225" s="55" t="str">
        <f t="shared" si="62"/>
        <v/>
      </c>
      <c r="C225" s="55" t="str">
        <f t="shared" ca="1" si="73"/>
        <v xml:space="preserve"> </v>
      </c>
      <c r="D225" s="58" t="str">
        <f t="shared" si="60"/>
        <v/>
      </c>
      <c r="E225" s="56" t="str">
        <f t="shared" si="61"/>
        <v/>
      </c>
      <c r="F225" s="56" t="str">
        <f>IF(AND(A224="",A226=""),"",IF(A225="",ROUND(SUM($F$25:F224),2),IF(A225=$D$8,$E$24-ROUND(SUM($F$25:F224),2),ROUND($E$24/$D$8,2))))</f>
        <v/>
      </c>
      <c r="G225" s="56" t="str">
        <f>IF(A224=$D$8,ROUND(SUM($G$25:G224),2),IF(A225&gt;$D$8,"",IF(T225&lt;&gt;T224,ROUND(SUM(V225*$D$9*E224/T225,W225*$D$9*E224/T224),2),ROUND(E224*$D$9*D225/T224,2))))</f>
        <v/>
      </c>
      <c r="H225" s="56" t="str">
        <f>IF(A224=$D$8,SUM($H$25:H224),IF(A224&gt;$D$8,"",F225+G225))</f>
        <v/>
      </c>
      <c r="I225" s="56" t="str">
        <f t="shared" si="63"/>
        <v/>
      </c>
      <c r="J225" s="56" t="str">
        <f t="shared" si="74"/>
        <v/>
      </c>
      <c r="K225" s="56"/>
      <c r="L225" s="56" t="str">
        <f t="shared" si="64"/>
        <v/>
      </c>
      <c r="M225" s="56" t="str">
        <f t="shared" si="79"/>
        <v/>
      </c>
      <c r="N225" s="56" t="str">
        <f t="shared" si="80"/>
        <v/>
      </c>
      <c r="P225" s="59" t="str">
        <f>IF(A224=$D$8,XIRR(H$24:H224,C$24:C224),"")</f>
        <v/>
      </c>
      <c r="Q225" s="56" t="str">
        <f t="shared" si="78"/>
        <v/>
      </c>
      <c r="R225" s="56">
        <f t="shared" si="75"/>
        <v>0</v>
      </c>
      <c r="S225" s="21" t="e">
        <f t="shared" ca="1" si="76"/>
        <v>#VALUE!</v>
      </c>
      <c r="T225" s="21" t="e">
        <f t="shared" ca="1" si="77"/>
        <v>#VALUE!</v>
      </c>
      <c r="U225" s="21" t="e">
        <f t="shared" ca="1" si="66"/>
        <v>#VALUE!</v>
      </c>
      <c r="V225" s="60" t="e">
        <f t="shared" ca="1" si="67"/>
        <v>#VALUE!</v>
      </c>
      <c r="W225" s="61" t="e">
        <f t="shared" ca="1" si="71"/>
        <v>#VALUE!</v>
      </c>
    </row>
    <row r="226" spans="1:23" x14ac:dyDescent="0.25">
      <c r="A226" s="58" t="str">
        <f t="shared" si="72"/>
        <v/>
      </c>
      <c r="B226" s="55" t="str">
        <f t="shared" si="62"/>
        <v/>
      </c>
      <c r="C226" s="55" t="str">
        <f t="shared" ca="1" si="73"/>
        <v xml:space="preserve"> </v>
      </c>
      <c r="D226" s="58" t="str">
        <f t="shared" si="60"/>
        <v/>
      </c>
      <c r="E226" s="56" t="str">
        <f t="shared" si="61"/>
        <v/>
      </c>
      <c r="F226" s="56" t="str">
        <f>IF(AND(A225="",A227=""),"",IF(A226="",ROUND(SUM($F$25:F225),2),IF(A226=$D$8,$E$24-ROUND(SUM($F$25:F225),2),ROUND($E$24/$D$8,2))))</f>
        <v/>
      </c>
      <c r="G226" s="56" t="str">
        <f>IF(A225=$D$8,ROUND(SUM($G$25:G225),2),IF(A226&gt;$D$8,"",IF(T226&lt;&gt;T225,ROUND(SUM(V226*$D$9*E225/T226,W226*$D$9*E225/T225),2),ROUND(E225*$D$9*D226/T225,2))))</f>
        <v/>
      </c>
      <c r="H226" s="56" t="str">
        <f>IF(A225=$D$8,SUM($H$25:H225),IF(A225&gt;$D$8,"",F226+G226))</f>
        <v/>
      </c>
      <c r="I226" s="56" t="str">
        <f t="shared" si="63"/>
        <v/>
      </c>
      <c r="J226" s="56" t="str">
        <f t="shared" si="74"/>
        <v/>
      </c>
      <c r="K226" s="56"/>
      <c r="L226" s="56" t="str">
        <f t="shared" si="64"/>
        <v/>
      </c>
      <c r="M226" s="56" t="str">
        <f t="shared" si="79"/>
        <v/>
      </c>
      <c r="N226" s="56" t="str">
        <f t="shared" si="80"/>
        <v/>
      </c>
      <c r="P226" s="59" t="str">
        <f>IF(A225=$D$8,XIRR(H$24:H225,C$24:C225),"")</f>
        <v/>
      </c>
      <c r="Q226" s="56" t="str">
        <f t="shared" si="78"/>
        <v/>
      </c>
      <c r="R226" s="56">
        <f t="shared" si="75"/>
        <v>0</v>
      </c>
      <c r="S226" s="21" t="e">
        <f t="shared" ca="1" si="76"/>
        <v>#VALUE!</v>
      </c>
      <c r="T226" s="21" t="e">
        <f t="shared" ca="1" si="77"/>
        <v>#VALUE!</v>
      </c>
      <c r="U226" s="21" t="e">
        <f t="shared" ca="1" si="66"/>
        <v>#VALUE!</v>
      </c>
      <c r="V226" s="60" t="e">
        <f t="shared" ca="1" si="67"/>
        <v>#VALUE!</v>
      </c>
      <c r="W226" s="61" t="e">
        <f t="shared" ca="1" si="71"/>
        <v>#VALUE!</v>
      </c>
    </row>
    <row r="227" spans="1:23" x14ac:dyDescent="0.25">
      <c r="A227" s="58" t="str">
        <f t="shared" si="72"/>
        <v/>
      </c>
      <c r="B227" s="55" t="str">
        <f t="shared" si="62"/>
        <v/>
      </c>
      <c r="C227" s="55" t="str">
        <f t="shared" ca="1" si="73"/>
        <v xml:space="preserve"> </v>
      </c>
      <c r="D227" s="58" t="str">
        <f t="shared" si="60"/>
        <v/>
      </c>
      <c r="E227" s="56" t="str">
        <f t="shared" si="61"/>
        <v/>
      </c>
      <c r="F227" s="56" t="str">
        <f>IF(AND(A226="",A228=""),"",IF(A227="",ROUND(SUM($F$25:F226),2),IF(A227=$D$8,$E$24-ROUND(SUM($F$25:F226),2),ROUND($E$24/$D$8,2))))</f>
        <v/>
      </c>
      <c r="G227" s="56" t="str">
        <f>IF(A226=$D$8,ROUND(SUM($G$25:G226),2),IF(A227&gt;$D$8,"",IF(T227&lt;&gt;T226,ROUND(SUM(V227*$D$9*E226/T227,W227*$D$9*E226/T226),2),ROUND(E226*$D$9*D227/T226,2))))</f>
        <v/>
      </c>
      <c r="H227" s="56" t="str">
        <f>IF(A226=$D$8,SUM($H$25:H226),IF(A226&gt;$D$8,"",F227+G227))</f>
        <v/>
      </c>
      <c r="I227" s="56" t="str">
        <f t="shared" si="63"/>
        <v/>
      </c>
      <c r="J227" s="56" t="str">
        <f t="shared" si="74"/>
        <v/>
      </c>
      <c r="K227" s="56"/>
      <c r="L227" s="56" t="str">
        <f t="shared" si="64"/>
        <v/>
      </c>
      <c r="M227" s="56" t="str">
        <f t="shared" si="79"/>
        <v/>
      </c>
      <c r="N227" s="56" t="str">
        <f t="shared" si="80"/>
        <v/>
      </c>
      <c r="P227" s="59" t="str">
        <f>IF(A226=$D$8,XIRR(H$24:H226,C$24:C226),"")</f>
        <v/>
      </c>
      <c r="Q227" s="56" t="str">
        <f t="shared" si="78"/>
        <v/>
      </c>
      <c r="R227" s="56">
        <f t="shared" si="75"/>
        <v>0</v>
      </c>
      <c r="S227" s="21" t="e">
        <f t="shared" ca="1" si="76"/>
        <v>#VALUE!</v>
      </c>
      <c r="T227" s="21" t="e">
        <f t="shared" ca="1" si="77"/>
        <v>#VALUE!</v>
      </c>
      <c r="U227" s="21" t="e">
        <f t="shared" ca="1" si="66"/>
        <v>#VALUE!</v>
      </c>
      <c r="V227" s="60" t="e">
        <f t="shared" ca="1" si="67"/>
        <v>#VALUE!</v>
      </c>
      <c r="W227" s="61" t="e">
        <f t="shared" ca="1" si="71"/>
        <v>#VALUE!</v>
      </c>
    </row>
    <row r="228" spans="1:23" x14ac:dyDescent="0.25">
      <c r="A228" s="58" t="str">
        <f t="shared" si="72"/>
        <v/>
      </c>
      <c r="B228" s="55" t="str">
        <f t="shared" si="62"/>
        <v/>
      </c>
      <c r="C228" s="55" t="str">
        <f t="shared" ca="1" si="73"/>
        <v xml:space="preserve"> </v>
      </c>
      <c r="D228" s="58" t="str">
        <f t="shared" si="60"/>
        <v/>
      </c>
      <c r="E228" s="56" t="str">
        <f t="shared" si="61"/>
        <v/>
      </c>
      <c r="F228" s="56" t="str">
        <f>IF(AND(A227="",A229=""),"",IF(A228="",ROUND(SUM($F$25:F227),2),IF(A228=$D$8,$E$24-ROUND(SUM($F$25:F227),2),ROUND($E$24/$D$8,2))))</f>
        <v/>
      </c>
      <c r="G228" s="56" t="str">
        <f>IF(A227=$D$8,ROUND(SUM($G$25:G227),2),IF(A228&gt;$D$8,"",IF(T228&lt;&gt;T227,ROUND(SUM(V228*$D$9*E227/T228,W228*$D$9*E227/T227),2),ROUND(E227*$D$9*D228/T227,2))))</f>
        <v/>
      </c>
      <c r="H228" s="56" t="str">
        <f>IF(A227=$D$8,SUM($H$25:H227),IF(A227&gt;$D$8,"",F228+G228))</f>
        <v/>
      </c>
      <c r="I228" s="56" t="str">
        <f t="shared" si="63"/>
        <v/>
      </c>
      <c r="J228" s="56" t="str">
        <f t="shared" si="74"/>
        <v/>
      </c>
      <c r="K228" s="56"/>
      <c r="L228" s="56" t="str">
        <f t="shared" si="64"/>
        <v/>
      </c>
      <c r="M228" s="56" t="str">
        <f t="shared" si="79"/>
        <v/>
      </c>
      <c r="N228" s="56" t="str">
        <f t="shared" si="80"/>
        <v/>
      </c>
      <c r="P228" s="59" t="str">
        <f>IF(A227=$D$8,XIRR(H$24:H227,C$24:C227),"")</f>
        <v/>
      </c>
      <c r="Q228" s="56" t="str">
        <f t="shared" si="78"/>
        <v/>
      </c>
      <c r="R228" s="56">
        <f t="shared" si="75"/>
        <v>0</v>
      </c>
      <c r="S228" s="21" t="e">
        <f t="shared" ca="1" si="76"/>
        <v>#VALUE!</v>
      </c>
      <c r="T228" s="21" t="e">
        <f t="shared" ca="1" si="77"/>
        <v>#VALUE!</v>
      </c>
      <c r="U228" s="21" t="e">
        <f t="shared" ca="1" si="66"/>
        <v>#VALUE!</v>
      </c>
      <c r="V228" s="60" t="e">
        <f t="shared" ca="1" si="67"/>
        <v>#VALUE!</v>
      </c>
      <c r="W228" s="61" t="e">
        <f t="shared" ca="1" si="71"/>
        <v>#VALUE!</v>
      </c>
    </row>
    <row r="229" spans="1:23" x14ac:dyDescent="0.25">
      <c r="A229" s="58" t="str">
        <f t="shared" si="72"/>
        <v/>
      </c>
      <c r="B229" s="55" t="str">
        <f t="shared" si="62"/>
        <v/>
      </c>
      <c r="C229" s="55" t="str">
        <f t="shared" ca="1" si="73"/>
        <v xml:space="preserve"> </v>
      </c>
      <c r="D229" s="58" t="str">
        <f t="shared" ref="D229:D264" si="81">IF(A229&gt;$D$8,"",C229-C228)</f>
        <v/>
      </c>
      <c r="E229" s="56" t="str">
        <f t="shared" ref="E229:E265" si="82">IF(A229&gt;$D$8,"",E228-F229)</f>
        <v/>
      </c>
      <c r="F229" s="56" t="str">
        <f>IF(AND(A228="",A230=""),"",IF(A229="",ROUND(SUM($F$25:F228),2),IF(A229=$D$8,$E$24-ROUND(SUM($F$25:F228),2),ROUND($E$24/$D$8,2))))</f>
        <v/>
      </c>
      <c r="G229" s="56" t="str">
        <f>IF(A228=$D$8,ROUND(SUM($G$25:G228),2),IF(A229&gt;$D$8,"",IF(T229&lt;&gt;T228,ROUND(SUM(V229*$D$9*E228/T229,W229*$D$9*E228/T228),2),ROUND(E228*$D$9*D229/T228,2))))</f>
        <v/>
      </c>
      <c r="H229" s="56" t="str">
        <f>IF(A228=$D$8,SUM($H$25:H228),IF(A228&gt;$D$8,"",F229+G229))</f>
        <v/>
      </c>
      <c r="I229" s="56" t="str">
        <f t="shared" si="63"/>
        <v/>
      </c>
      <c r="J229" s="56" t="str">
        <f>IF($D$8&gt;A228,$N$9,IF($D$8=A228,SUM($J$24:J228)," "))</f>
        <v xml:space="preserve"> </v>
      </c>
      <c r="K229" s="56" t="str">
        <f>IF($D$8&gt;A228,($O$8+$N$10*E228),IF(A228=$D$8,$K$37+$K$24+$K$49+$K$61+$K$73+$K$85+$K$97+$K$109+$K$121+$K$133+$K$145+$K$157+$K$169+$K$181+$K$193+$K$205+$K$217,""))</f>
        <v/>
      </c>
      <c r="L229" s="56" t="str">
        <f t="shared" si="64"/>
        <v/>
      </c>
      <c r="M229" s="56" t="str">
        <f t="shared" si="79"/>
        <v/>
      </c>
      <c r="N229" s="56" t="str">
        <f t="shared" si="80"/>
        <v/>
      </c>
      <c r="P229" s="59" t="str">
        <f>IF(A228=$D$8,XIRR(H$24:H228,C$24:C228),"")</f>
        <v/>
      </c>
      <c r="Q229" s="56" t="str">
        <f t="shared" si="78"/>
        <v/>
      </c>
      <c r="R229" s="56">
        <f t="shared" si="75"/>
        <v>0</v>
      </c>
      <c r="S229" s="21" t="e">
        <f t="shared" ca="1" si="76"/>
        <v>#VALUE!</v>
      </c>
      <c r="T229" s="21" t="e">
        <f t="shared" ca="1" si="77"/>
        <v>#VALUE!</v>
      </c>
      <c r="U229" s="21" t="e">
        <f t="shared" ca="1" si="66"/>
        <v>#VALUE!</v>
      </c>
      <c r="V229" s="60" t="e">
        <f t="shared" ca="1" si="67"/>
        <v>#VALUE!</v>
      </c>
      <c r="W229" s="61" t="e">
        <f t="shared" ca="1" si="71"/>
        <v>#VALUE!</v>
      </c>
    </row>
    <row r="230" spans="1:23" x14ac:dyDescent="0.25">
      <c r="A230" s="58" t="str">
        <f t="shared" si="72"/>
        <v/>
      </c>
      <c r="B230" s="55" t="str">
        <f t="shared" ref="B230:B264" si="83">IF(A230="","",EDATE($B$24,A230))</f>
        <v/>
      </c>
      <c r="C230" s="55" t="str">
        <f t="shared" ca="1" si="73"/>
        <v xml:space="preserve"> </v>
      </c>
      <c r="D230" s="58" t="str">
        <f t="shared" si="81"/>
        <v/>
      </c>
      <c r="E230" s="56" t="str">
        <f t="shared" si="82"/>
        <v/>
      </c>
      <c r="F230" s="56" t="str">
        <f>IF(AND(A229="",A231=""),"",IF(A230="",ROUND(SUM($F$25:F229),2),IF(A230=$D$8,$E$24-ROUND(SUM($F$25:F229),2),ROUND($E$24/$D$8,2))))</f>
        <v/>
      </c>
      <c r="G230" s="56" t="str">
        <f>IF(A229=$D$8,ROUND(SUM($G$25:G229),2),IF(A230&gt;$D$8,"",IF(T230&lt;&gt;T229,ROUND(SUM(V230*$D$9*E229/T230,W230*$D$9*E229/T229),2),ROUND(E229*$D$9*D230/T229,2))))</f>
        <v/>
      </c>
      <c r="H230" s="56" t="str">
        <f>IF(A229=$D$8,SUM($H$25:H229),IF(A229&gt;$D$8,"",F230+G230))</f>
        <v/>
      </c>
      <c r="I230" s="56" t="str">
        <f t="shared" ref="I230:I265" si="84">IF(A229=$D$8,$I$24,"")</f>
        <v/>
      </c>
      <c r="J230" s="56" t="str">
        <f t="shared" ref="J230:J240" si="85">IF(A229=$D$8,$J$24,"")</f>
        <v/>
      </c>
      <c r="K230" s="56"/>
      <c r="L230" s="56" t="str">
        <f t="shared" ref="L230:L265" si="86">IF(A229=$D$8,$L$24,"")</f>
        <v/>
      </c>
      <c r="M230" s="56" t="str">
        <f t="shared" si="79"/>
        <v/>
      </c>
      <c r="N230" s="56" t="str">
        <f t="shared" si="80"/>
        <v/>
      </c>
      <c r="P230" s="59" t="str">
        <f>IF(A229=$D$8,XIRR(H$24:H229,C$24:C229),"")</f>
        <v/>
      </c>
      <c r="Q230" s="56" t="str">
        <f t="shared" si="78"/>
        <v/>
      </c>
      <c r="R230" s="56">
        <f t="shared" si="75"/>
        <v>0</v>
      </c>
      <c r="S230" s="21" t="e">
        <f t="shared" ca="1" si="76"/>
        <v>#VALUE!</v>
      </c>
      <c r="T230" s="21" t="e">
        <f t="shared" ca="1" si="77"/>
        <v>#VALUE!</v>
      </c>
      <c r="U230" s="21" t="e">
        <f t="shared" ca="1" si="66"/>
        <v>#VALUE!</v>
      </c>
      <c r="V230" s="60" t="e">
        <f t="shared" ca="1" si="67"/>
        <v>#VALUE!</v>
      </c>
      <c r="W230" s="61" t="e">
        <f t="shared" ca="1" si="71"/>
        <v>#VALUE!</v>
      </c>
    </row>
    <row r="231" spans="1:23" x14ac:dyDescent="0.25">
      <c r="A231" s="58" t="str">
        <f t="shared" si="72"/>
        <v/>
      </c>
      <c r="B231" s="55" t="str">
        <f t="shared" si="83"/>
        <v/>
      </c>
      <c r="C231" s="55" t="str">
        <f t="shared" ca="1" si="73"/>
        <v xml:space="preserve"> </v>
      </c>
      <c r="D231" s="58" t="str">
        <f t="shared" si="81"/>
        <v/>
      </c>
      <c r="E231" s="56" t="str">
        <f t="shared" si="82"/>
        <v/>
      </c>
      <c r="F231" s="56" t="str">
        <f>IF(AND(A230="",A232=""),"",IF(A231="",ROUND(SUM($F$25:F230),2),IF(A231=$D$8,$E$24-ROUND(SUM($F$25:F230),2),ROUND($E$24/$D$8,2))))</f>
        <v/>
      </c>
      <c r="G231" s="56" t="str">
        <f>IF(A230=$D$8,ROUND(SUM($G$25:G230),2),IF(A231&gt;$D$8,"",IF(T231&lt;&gt;T230,ROUND(SUM(V231*$D$9*E230/T231,W231*$D$9*E230/T230),2),ROUND(E230*$D$9*D231/T230,2))))</f>
        <v/>
      </c>
      <c r="H231" s="56" t="str">
        <f>IF(A230=$D$8,SUM($H$25:H230),IF(A230&gt;$D$8,"",F231+G231))</f>
        <v/>
      </c>
      <c r="I231" s="56" t="str">
        <f t="shared" si="84"/>
        <v/>
      </c>
      <c r="J231" s="56" t="str">
        <f t="shared" si="85"/>
        <v/>
      </c>
      <c r="K231" s="56"/>
      <c r="L231" s="56" t="str">
        <f t="shared" si="86"/>
        <v/>
      </c>
      <c r="M231" s="56" t="str">
        <f t="shared" si="79"/>
        <v/>
      </c>
      <c r="N231" s="56" t="str">
        <f t="shared" si="80"/>
        <v/>
      </c>
      <c r="P231" s="59" t="str">
        <f>IF(A230=$D$8,XIRR(H$24:H230,C$24:C230),"")</f>
        <v/>
      </c>
      <c r="Q231" s="56" t="str">
        <f t="shared" si="78"/>
        <v/>
      </c>
      <c r="R231" s="56">
        <f t="shared" si="75"/>
        <v>0</v>
      </c>
      <c r="S231" s="21" t="e">
        <f t="shared" ca="1" si="76"/>
        <v>#VALUE!</v>
      </c>
      <c r="T231" s="21" t="e">
        <f t="shared" ca="1" si="77"/>
        <v>#VALUE!</v>
      </c>
      <c r="U231" s="21" t="e">
        <f t="shared" ca="1" si="66"/>
        <v>#VALUE!</v>
      </c>
      <c r="V231" s="60" t="e">
        <f t="shared" ca="1" si="67"/>
        <v>#VALUE!</v>
      </c>
      <c r="W231" s="61" t="e">
        <f t="shared" ca="1" si="71"/>
        <v>#VALUE!</v>
      </c>
    </row>
    <row r="232" spans="1:23" x14ac:dyDescent="0.25">
      <c r="A232" s="58" t="str">
        <f t="shared" si="72"/>
        <v/>
      </c>
      <c r="B232" s="55" t="str">
        <f t="shared" si="83"/>
        <v/>
      </c>
      <c r="C232" s="55" t="str">
        <f t="shared" ca="1" si="73"/>
        <v xml:space="preserve"> </v>
      </c>
      <c r="D232" s="58" t="str">
        <f t="shared" si="81"/>
        <v/>
      </c>
      <c r="E232" s="56" t="str">
        <f t="shared" si="82"/>
        <v/>
      </c>
      <c r="F232" s="56" t="str">
        <f>IF(AND(A231="",A233=""),"",IF(A232="",ROUND(SUM($F$25:F231),2),IF(A232=$D$8,$E$24-ROUND(SUM($F$25:F231),2),ROUND($E$24/$D$8,2))))</f>
        <v/>
      </c>
      <c r="G232" s="56" t="str">
        <f>IF(A231=$D$8,ROUND(SUM($G$25:G231),2),IF(A232&gt;$D$8,"",IF(T232&lt;&gt;T231,ROUND(SUM(V232*$D$9*E231/T232,W232*$D$9*E231/T231),2),ROUND(E231*$D$9*D232/T231,2))))</f>
        <v/>
      </c>
      <c r="H232" s="56" t="str">
        <f>IF(A231=$D$8,SUM($H$25:H231),IF(A231&gt;$D$8,"",F232+G232))</f>
        <v/>
      </c>
      <c r="I232" s="56" t="str">
        <f t="shared" si="84"/>
        <v/>
      </c>
      <c r="J232" s="56" t="str">
        <f t="shared" si="85"/>
        <v/>
      </c>
      <c r="K232" s="56"/>
      <c r="L232" s="56" t="str">
        <f t="shared" si="86"/>
        <v/>
      </c>
      <c r="M232" s="56" t="str">
        <f t="shared" si="79"/>
        <v/>
      </c>
      <c r="N232" s="56" t="str">
        <f t="shared" si="80"/>
        <v/>
      </c>
      <c r="P232" s="59" t="str">
        <f>IF(A231=$D$8,XIRR(H$24:H231,C$24:C231),"")</f>
        <v/>
      </c>
      <c r="Q232" s="56" t="str">
        <f t="shared" si="78"/>
        <v/>
      </c>
      <c r="R232" s="56">
        <f t="shared" si="75"/>
        <v>0</v>
      </c>
      <c r="S232" s="21" t="e">
        <f t="shared" ca="1" si="76"/>
        <v>#VALUE!</v>
      </c>
      <c r="T232" s="21" t="e">
        <f t="shared" ca="1" si="77"/>
        <v>#VALUE!</v>
      </c>
      <c r="U232" s="21" t="e">
        <f t="shared" ca="1" si="66"/>
        <v>#VALUE!</v>
      </c>
      <c r="V232" s="60" t="e">
        <f t="shared" ca="1" si="67"/>
        <v>#VALUE!</v>
      </c>
      <c r="W232" s="61" t="e">
        <f t="shared" ca="1" si="71"/>
        <v>#VALUE!</v>
      </c>
    </row>
    <row r="233" spans="1:23" x14ac:dyDescent="0.25">
      <c r="A233" s="58" t="str">
        <f t="shared" si="72"/>
        <v/>
      </c>
      <c r="B233" s="55" t="str">
        <f t="shared" si="83"/>
        <v/>
      </c>
      <c r="C233" s="55" t="str">
        <f t="shared" ca="1" si="73"/>
        <v xml:space="preserve"> </v>
      </c>
      <c r="D233" s="58" t="str">
        <f t="shared" si="81"/>
        <v/>
      </c>
      <c r="E233" s="56" t="str">
        <f t="shared" si="82"/>
        <v/>
      </c>
      <c r="F233" s="56" t="str">
        <f>IF(AND(A232="",A234=""),"",IF(A233="",ROUND(SUM($F$25:F232),2),IF(A233=$D$8,$E$24-ROUND(SUM($F$25:F232),2),ROUND($E$24/$D$8,2))))</f>
        <v/>
      </c>
      <c r="G233" s="56" t="str">
        <f>IF(A232=$D$8,ROUND(SUM($G$25:G232),2),IF(A233&gt;$D$8,"",IF(T233&lt;&gt;T232,ROUND(SUM(V233*$D$9*E232/T233,W233*$D$9*E232/T232),2),ROUND(E232*$D$9*D233/T232,2))))</f>
        <v/>
      </c>
      <c r="H233" s="56" t="str">
        <f>IF(A232=$D$8,SUM($H$25:H232),IF(A232&gt;$D$8,"",F233+G233))</f>
        <v/>
      </c>
      <c r="I233" s="56" t="str">
        <f t="shared" si="84"/>
        <v/>
      </c>
      <c r="J233" s="56" t="str">
        <f t="shared" si="85"/>
        <v/>
      </c>
      <c r="K233" s="56"/>
      <c r="L233" s="56" t="str">
        <f t="shared" si="86"/>
        <v/>
      </c>
      <c r="M233" s="56" t="str">
        <f t="shared" si="79"/>
        <v/>
      </c>
      <c r="N233" s="56" t="str">
        <f t="shared" si="80"/>
        <v/>
      </c>
      <c r="P233" s="59" t="str">
        <f>IF(A232=$D$8,XIRR(H$24:H232,C$24:C232),"")</f>
        <v/>
      </c>
      <c r="Q233" s="56" t="str">
        <f t="shared" si="78"/>
        <v/>
      </c>
      <c r="R233" s="56">
        <f t="shared" si="75"/>
        <v>0</v>
      </c>
      <c r="S233" s="21" t="e">
        <f t="shared" ca="1" si="76"/>
        <v>#VALUE!</v>
      </c>
      <c r="T233" s="21" t="e">
        <f t="shared" ca="1" si="77"/>
        <v>#VALUE!</v>
      </c>
      <c r="U233" s="21" t="e">
        <f t="shared" ca="1" si="66"/>
        <v>#VALUE!</v>
      </c>
      <c r="V233" s="60" t="e">
        <f t="shared" ca="1" si="67"/>
        <v>#VALUE!</v>
      </c>
      <c r="W233" s="61" t="e">
        <f t="shared" ca="1" si="71"/>
        <v>#VALUE!</v>
      </c>
    </row>
    <row r="234" spans="1:23" x14ac:dyDescent="0.25">
      <c r="A234" s="58" t="str">
        <f t="shared" si="72"/>
        <v/>
      </c>
      <c r="B234" s="55" t="str">
        <f t="shared" si="83"/>
        <v/>
      </c>
      <c r="C234" s="55" t="str">
        <f t="shared" ca="1" si="73"/>
        <v xml:space="preserve"> </v>
      </c>
      <c r="D234" s="58" t="str">
        <f t="shared" si="81"/>
        <v/>
      </c>
      <c r="E234" s="56" t="str">
        <f t="shared" si="82"/>
        <v/>
      </c>
      <c r="F234" s="56" t="str">
        <f>IF(AND(A233="",A235=""),"",IF(A234="",ROUND(SUM($F$25:F233),2),IF(A234=$D$8,$E$24-ROUND(SUM($F$25:F233),2),ROUND($E$24/$D$8,2))))</f>
        <v/>
      </c>
      <c r="G234" s="56" t="str">
        <f>IF(A233=$D$8,ROUND(SUM($G$25:G233),2),IF(A234&gt;$D$8,"",IF(T234&lt;&gt;T233,ROUND(SUM(V234*$D$9*E233/T234,W234*$D$9*E233/T233),2),ROUND(E233*$D$9*D234/T233,2))))</f>
        <v/>
      </c>
      <c r="H234" s="56" t="str">
        <f>IF(A233=$D$8,SUM($H$25:H233),IF(A233&gt;$D$8,"",F234+G234))</f>
        <v/>
      </c>
      <c r="I234" s="56" t="str">
        <f t="shared" si="84"/>
        <v/>
      </c>
      <c r="J234" s="56" t="str">
        <f t="shared" si="85"/>
        <v/>
      </c>
      <c r="K234" s="56"/>
      <c r="L234" s="56" t="str">
        <f t="shared" si="86"/>
        <v/>
      </c>
      <c r="M234" s="56" t="str">
        <f t="shared" si="79"/>
        <v/>
      </c>
      <c r="N234" s="56" t="str">
        <f t="shared" si="80"/>
        <v/>
      </c>
      <c r="P234" s="59" t="str">
        <f>IF(A233=$D$8,XIRR(H$24:H233,C$24:C233),"")</f>
        <v/>
      </c>
      <c r="Q234" s="56" t="str">
        <f t="shared" si="78"/>
        <v/>
      </c>
      <c r="R234" s="56">
        <f t="shared" si="75"/>
        <v>0</v>
      </c>
      <c r="S234" s="21" t="e">
        <f t="shared" ca="1" si="76"/>
        <v>#VALUE!</v>
      </c>
      <c r="T234" s="21" t="e">
        <f t="shared" ca="1" si="77"/>
        <v>#VALUE!</v>
      </c>
      <c r="U234" s="21" t="e">
        <f t="shared" ca="1" si="66"/>
        <v>#VALUE!</v>
      </c>
      <c r="V234" s="60" t="e">
        <f t="shared" ca="1" si="67"/>
        <v>#VALUE!</v>
      </c>
      <c r="W234" s="61" t="e">
        <f t="shared" ca="1" si="71"/>
        <v>#VALUE!</v>
      </c>
    </row>
    <row r="235" spans="1:23" x14ac:dyDescent="0.25">
      <c r="A235" s="58" t="str">
        <f t="shared" si="72"/>
        <v/>
      </c>
      <c r="B235" s="55" t="str">
        <f t="shared" si="83"/>
        <v/>
      </c>
      <c r="C235" s="55" t="str">
        <f t="shared" ca="1" si="73"/>
        <v xml:space="preserve"> </v>
      </c>
      <c r="D235" s="58" t="str">
        <f t="shared" si="81"/>
        <v/>
      </c>
      <c r="E235" s="56" t="str">
        <f t="shared" si="82"/>
        <v/>
      </c>
      <c r="F235" s="56" t="str">
        <f>IF(AND(A234="",A236=""),"",IF(A235="",ROUND(SUM($F$25:F234),2),IF(A235=$D$8,$E$24-ROUND(SUM($F$25:F234),2),ROUND($E$24/$D$8,2))))</f>
        <v/>
      </c>
      <c r="G235" s="56" t="str">
        <f>IF(A234=$D$8,ROUND(SUM($G$25:G234),2),IF(A235&gt;$D$8,"",IF(T235&lt;&gt;T234,ROUND(SUM(V235*$D$9*E234/T235,W235*$D$9*E234/T234),2),ROUND(E234*$D$9*D235/T234,2))))</f>
        <v/>
      </c>
      <c r="H235" s="56" t="str">
        <f>IF(A234=$D$8,SUM($H$25:H234),IF(A234&gt;$D$8,"",F235+G235))</f>
        <v/>
      </c>
      <c r="I235" s="56" t="str">
        <f t="shared" si="84"/>
        <v/>
      </c>
      <c r="J235" s="56" t="str">
        <f t="shared" si="85"/>
        <v/>
      </c>
      <c r="K235" s="56"/>
      <c r="L235" s="56" t="str">
        <f t="shared" si="86"/>
        <v/>
      </c>
      <c r="M235" s="56" t="str">
        <f t="shared" si="79"/>
        <v/>
      </c>
      <c r="N235" s="56" t="str">
        <f t="shared" si="80"/>
        <v/>
      </c>
      <c r="P235" s="59" t="str">
        <f>IF(A234=$D$8,XIRR(H$24:H234,C$24:C234),"")</f>
        <v/>
      </c>
      <c r="Q235" s="56" t="str">
        <f t="shared" si="78"/>
        <v/>
      </c>
      <c r="R235" s="56">
        <f t="shared" si="75"/>
        <v>0</v>
      </c>
      <c r="S235" s="21" t="e">
        <f t="shared" ca="1" si="76"/>
        <v>#VALUE!</v>
      </c>
      <c r="T235" s="21" t="e">
        <f t="shared" ca="1" si="77"/>
        <v>#VALUE!</v>
      </c>
      <c r="U235" s="21" t="e">
        <f t="shared" ca="1" si="66"/>
        <v>#VALUE!</v>
      </c>
      <c r="V235" s="60" t="e">
        <f t="shared" ca="1" si="67"/>
        <v>#VALUE!</v>
      </c>
      <c r="W235" s="61" t="e">
        <f t="shared" ca="1" si="71"/>
        <v>#VALUE!</v>
      </c>
    </row>
    <row r="236" spans="1:23" x14ac:dyDescent="0.25">
      <c r="A236" s="58" t="str">
        <f t="shared" si="72"/>
        <v/>
      </c>
      <c r="B236" s="55" t="str">
        <f t="shared" si="83"/>
        <v/>
      </c>
      <c r="C236" s="55" t="str">
        <f t="shared" ca="1" si="73"/>
        <v xml:space="preserve"> </v>
      </c>
      <c r="D236" s="58" t="str">
        <f t="shared" si="81"/>
        <v/>
      </c>
      <c r="E236" s="56" t="str">
        <f t="shared" si="82"/>
        <v/>
      </c>
      <c r="F236" s="56" t="str">
        <f>IF(AND(A235="",A237=""),"",IF(A236="",ROUND(SUM($F$25:F235),2),IF(A236=$D$8,$E$24-ROUND(SUM($F$25:F235),2),ROUND($E$24/$D$8,2))))</f>
        <v/>
      </c>
      <c r="G236" s="56" t="str">
        <f>IF(A235=$D$8,ROUND(SUM($G$25:G235),2),IF(A236&gt;$D$8,"",IF(T236&lt;&gt;T235,ROUND(SUM(V236*$D$9*E235/T236,W236*$D$9*E235/T235),2),ROUND(E235*$D$9*D236/T235,2))))</f>
        <v/>
      </c>
      <c r="H236" s="56" t="str">
        <f>IF(A235=$D$8,SUM($H$25:H235),IF(A235&gt;$D$8,"",F236+G236))</f>
        <v/>
      </c>
      <c r="I236" s="56" t="str">
        <f t="shared" si="84"/>
        <v/>
      </c>
      <c r="J236" s="56" t="str">
        <f t="shared" si="85"/>
        <v/>
      </c>
      <c r="K236" s="56"/>
      <c r="L236" s="56" t="str">
        <f t="shared" si="86"/>
        <v/>
      </c>
      <c r="M236" s="56" t="str">
        <f t="shared" si="79"/>
        <v/>
      </c>
      <c r="N236" s="56" t="str">
        <f t="shared" si="80"/>
        <v/>
      </c>
      <c r="P236" s="59" t="str">
        <f>IF(A235=$D$8,XIRR(H$24:H235,C$24:C235),"")</f>
        <v/>
      </c>
      <c r="Q236" s="56" t="str">
        <f t="shared" si="78"/>
        <v/>
      </c>
      <c r="R236" s="56">
        <f t="shared" si="75"/>
        <v>0</v>
      </c>
      <c r="S236" s="21" t="e">
        <f t="shared" ca="1" si="76"/>
        <v>#VALUE!</v>
      </c>
      <c r="T236" s="21" t="e">
        <f t="shared" ca="1" si="77"/>
        <v>#VALUE!</v>
      </c>
      <c r="U236" s="21" t="e">
        <f t="shared" ca="1" si="66"/>
        <v>#VALUE!</v>
      </c>
      <c r="V236" s="60" t="e">
        <f t="shared" ca="1" si="67"/>
        <v>#VALUE!</v>
      </c>
      <c r="W236" s="61" t="e">
        <f t="shared" ca="1" si="71"/>
        <v>#VALUE!</v>
      </c>
    </row>
    <row r="237" spans="1:23" x14ac:dyDescent="0.25">
      <c r="A237" s="58" t="str">
        <f t="shared" si="72"/>
        <v/>
      </c>
      <c r="B237" s="55" t="str">
        <f t="shared" si="83"/>
        <v/>
      </c>
      <c r="C237" s="55" t="str">
        <f t="shared" ca="1" si="73"/>
        <v xml:space="preserve"> </v>
      </c>
      <c r="D237" s="58" t="str">
        <f t="shared" si="81"/>
        <v/>
      </c>
      <c r="E237" s="56" t="str">
        <f t="shared" si="82"/>
        <v/>
      </c>
      <c r="F237" s="56" t="str">
        <f>IF(AND(A236="",A238=""),"",IF(A237="",ROUND(SUM($F$25:F236),2),IF(A237=$D$8,$E$24-ROUND(SUM($F$25:F236),2),ROUND($E$24/$D$8,2))))</f>
        <v/>
      </c>
      <c r="G237" s="56" t="str">
        <f>IF(A236=$D$8,ROUND(SUM($G$25:G236),2),IF(A237&gt;$D$8,"",IF(T237&lt;&gt;T236,ROUND(SUM(V237*$D$9*E236/T237,W237*$D$9*E236/T236),2),ROUND(E236*$D$9*D237/T236,2))))</f>
        <v/>
      </c>
      <c r="H237" s="56" t="str">
        <f>IF(A236=$D$8,SUM($H$25:H236),IF(A236&gt;$D$8,"",F237+G237))</f>
        <v/>
      </c>
      <c r="I237" s="56" t="str">
        <f t="shared" si="84"/>
        <v/>
      </c>
      <c r="J237" s="56" t="str">
        <f t="shared" si="85"/>
        <v/>
      </c>
      <c r="K237" s="56"/>
      <c r="L237" s="56" t="str">
        <f t="shared" si="86"/>
        <v/>
      </c>
      <c r="M237" s="56" t="str">
        <f t="shared" si="79"/>
        <v/>
      </c>
      <c r="N237" s="56" t="str">
        <f t="shared" si="80"/>
        <v/>
      </c>
      <c r="P237" s="59" t="str">
        <f>IF(A236=$D$8,XIRR(H$24:H236,C$24:C236),"")</f>
        <v/>
      </c>
      <c r="Q237" s="56" t="str">
        <f t="shared" si="78"/>
        <v/>
      </c>
      <c r="R237" s="56">
        <f t="shared" si="75"/>
        <v>0</v>
      </c>
      <c r="S237" s="21" t="e">
        <f t="shared" ca="1" si="76"/>
        <v>#VALUE!</v>
      </c>
      <c r="T237" s="21" t="e">
        <f t="shared" ca="1" si="77"/>
        <v>#VALUE!</v>
      </c>
      <c r="U237" s="21" t="e">
        <f t="shared" ref="U237:U264" ca="1" si="87">IF(C237="","",DAY(C237))</f>
        <v>#VALUE!</v>
      </c>
      <c r="V237" s="60" t="e">
        <f t="shared" ref="V237:V264" ca="1" si="88">U237-1</f>
        <v>#VALUE!</v>
      </c>
      <c r="W237" s="61" t="e">
        <f t="shared" ca="1" si="71"/>
        <v>#VALUE!</v>
      </c>
    </row>
    <row r="238" spans="1:23" x14ac:dyDescent="0.25">
      <c r="A238" s="58" t="str">
        <f t="shared" si="72"/>
        <v/>
      </c>
      <c r="B238" s="55" t="str">
        <f t="shared" si="83"/>
        <v/>
      </c>
      <c r="C238" s="55" t="str">
        <f t="shared" ca="1" si="73"/>
        <v xml:space="preserve"> </v>
      </c>
      <c r="D238" s="58" t="str">
        <f t="shared" si="81"/>
        <v/>
      </c>
      <c r="E238" s="56" t="str">
        <f t="shared" si="82"/>
        <v/>
      </c>
      <c r="F238" s="56" t="str">
        <f>IF(AND(A237="",A239=""),"",IF(A238="",ROUND(SUM($F$25:F237),2),IF(A238=$D$8,$E$24-ROUND(SUM($F$25:F237),2),ROUND($E$24/$D$8,2))))</f>
        <v/>
      </c>
      <c r="G238" s="56" t="str">
        <f>IF(A237=$D$8,ROUND(SUM($G$25:G237),2),IF(A238&gt;$D$8,"",IF(T238&lt;&gt;T237,ROUND(SUM(V238*$D$9*E237/T238,W238*$D$9*E237/T237),2),ROUND(E237*$D$9*D238/T237,2))))</f>
        <v/>
      </c>
      <c r="H238" s="56" t="str">
        <f>IF(A237=$D$8,SUM($H$25:H237),IF(A237&gt;$D$8,"",F238+G238))</f>
        <v/>
      </c>
      <c r="I238" s="56" t="str">
        <f t="shared" si="84"/>
        <v/>
      </c>
      <c r="J238" s="56" t="str">
        <f t="shared" si="85"/>
        <v/>
      </c>
      <c r="K238" s="56"/>
      <c r="L238" s="56" t="str">
        <f t="shared" si="86"/>
        <v/>
      </c>
      <c r="M238" s="56" t="str">
        <f t="shared" si="79"/>
        <v/>
      </c>
      <c r="N238" s="56" t="str">
        <f t="shared" si="80"/>
        <v/>
      </c>
      <c r="P238" s="59" t="str">
        <f>IF(A237=$D$8,XIRR(H$24:H237,C$24:C237),"")</f>
        <v/>
      </c>
      <c r="Q238" s="56" t="str">
        <f t="shared" si="78"/>
        <v/>
      </c>
      <c r="R238" s="56">
        <f t="shared" si="75"/>
        <v>0</v>
      </c>
      <c r="S238" s="21" t="e">
        <f t="shared" ca="1" si="76"/>
        <v>#VALUE!</v>
      </c>
      <c r="T238" s="21" t="e">
        <f t="shared" ca="1" si="77"/>
        <v>#VALUE!</v>
      </c>
      <c r="U238" s="21" t="e">
        <f t="shared" ca="1" si="87"/>
        <v>#VALUE!</v>
      </c>
      <c r="V238" s="60" t="e">
        <f t="shared" ca="1" si="88"/>
        <v>#VALUE!</v>
      </c>
      <c r="W238" s="61" t="e">
        <f t="shared" ca="1" si="71"/>
        <v>#VALUE!</v>
      </c>
    </row>
    <row r="239" spans="1:23" x14ac:dyDescent="0.25">
      <c r="A239" s="58" t="str">
        <f t="shared" si="72"/>
        <v/>
      </c>
      <c r="B239" s="55" t="str">
        <f t="shared" si="83"/>
        <v/>
      </c>
      <c r="C239" s="55" t="str">
        <f t="shared" ca="1" si="73"/>
        <v xml:space="preserve"> </v>
      </c>
      <c r="D239" s="58" t="str">
        <f t="shared" si="81"/>
        <v/>
      </c>
      <c r="E239" s="56" t="str">
        <f t="shared" si="82"/>
        <v/>
      </c>
      <c r="F239" s="56" t="str">
        <f>IF(AND(A238="",A240=""),"",IF(A239="",ROUND(SUM($F$25:F238),2),IF(A239=$D$8,$E$24-ROUND(SUM($F$25:F238),2),ROUND($E$24/$D$8,2))))</f>
        <v/>
      </c>
      <c r="G239" s="56" t="str">
        <f>IF(A238=$D$8,ROUND(SUM($G$25:G238),2),IF(A239&gt;$D$8,"",IF(T239&lt;&gt;T238,ROUND(SUM(V239*$D$9*E238/T239,W239*$D$9*E238/T238),2),ROUND(E238*$D$9*D239/T238,2))))</f>
        <v/>
      </c>
      <c r="H239" s="56" t="str">
        <f>IF(A238=$D$8,SUM($H$25:H238),IF(A238&gt;$D$8,"",F239+G239))</f>
        <v/>
      </c>
      <c r="I239" s="56" t="str">
        <f t="shared" si="84"/>
        <v/>
      </c>
      <c r="J239" s="56" t="str">
        <f t="shared" si="85"/>
        <v/>
      </c>
      <c r="K239" s="56"/>
      <c r="L239" s="56" t="str">
        <f t="shared" si="86"/>
        <v/>
      </c>
      <c r="M239" s="56" t="str">
        <f t="shared" si="79"/>
        <v/>
      </c>
      <c r="N239" s="56" t="str">
        <f t="shared" si="80"/>
        <v/>
      </c>
      <c r="P239" s="59" t="str">
        <f>IF(A238=$D$8,XIRR(H$24:H238,C$24:C238),"")</f>
        <v/>
      </c>
      <c r="Q239" s="56" t="str">
        <f t="shared" si="78"/>
        <v/>
      </c>
      <c r="R239" s="56">
        <f t="shared" si="75"/>
        <v>0</v>
      </c>
      <c r="S239" s="21" t="e">
        <f t="shared" ca="1" si="76"/>
        <v>#VALUE!</v>
      </c>
      <c r="T239" s="21" t="e">
        <f t="shared" ca="1" si="77"/>
        <v>#VALUE!</v>
      </c>
      <c r="U239" s="21" t="e">
        <f t="shared" ca="1" si="87"/>
        <v>#VALUE!</v>
      </c>
      <c r="V239" s="60" t="e">
        <f t="shared" ca="1" si="88"/>
        <v>#VALUE!</v>
      </c>
      <c r="W239" s="61" t="e">
        <f t="shared" ca="1" si="71"/>
        <v>#VALUE!</v>
      </c>
    </row>
    <row r="240" spans="1:23" x14ac:dyDescent="0.25">
      <c r="A240" s="58" t="str">
        <f t="shared" si="72"/>
        <v/>
      </c>
      <c r="B240" s="55" t="str">
        <f t="shared" si="83"/>
        <v/>
      </c>
      <c r="C240" s="55" t="str">
        <f t="shared" ca="1" si="73"/>
        <v xml:space="preserve"> </v>
      </c>
      <c r="D240" s="58" t="str">
        <f t="shared" si="81"/>
        <v/>
      </c>
      <c r="E240" s="56" t="str">
        <f t="shared" si="82"/>
        <v/>
      </c>
      <c r="F240" s="56" t="str">
        <f>IF(AND(A239="",A241=""),"",IF(A240="",ROUND(SUM($F$25:F239),2),IF(A240=$D$8,$E$24-ROUND(SUM($F$25:F239),2),ROUND($E$24/$D$8,2))))</f>
        <v/>
      </c>
      <c r="G240" s="56" t="str">
        <f>IF(A239=$D$8,ROUND(SUM($G$25:G239),2),IF(A240&gt;$D$8,"",IF(T240&lt;&gt;T239,ROUND(SUM(V240*$D$9*E239/T240,W240*$D$9*E239/T239),2),ROUND(E239*$D$9*D240/T239,2))))</f>
        <v/>
      </c>
      <c r="H240" s="56" t="str">
        <f>IF(A239=$D$8,SUM($H$25:H239),IF(A239&gt;$D$8,"",F240+G240))</f>
        <v/>
      </c>
      <c r="I240" s="56" t="str">
        <f t="shared" si="84"/>
        <v/>
      </c>
      <c r="J240" s="56" t="str">
        <f t="shared" si="85"/>
        <v/>
      </c>
      <c r="K240" s="56"/>
      <c r="L240" s="56" t="str">
        <f t="shared" si="86"/>
        <v/>
      </c>
      <c r="M240" s="56" t="str">
        <f t="shared" si="79"/>
        <v/>
      </c>
      <c r="N240" s="56" t="str">
        <f t="shared" si="80"/>
        <v/>
      </c>
      <c r="P240" s="59" t="str">
        <f>IF(A239=$D$8,XIRR(H$24:H239,C$24:C239),"")</f>
        <v/>
      </c>
      <c r="Q240" s="56" t="str">
        <f t="shared" si="78"/>
        <v/>
      </c>
      <c r="R240" s="56">
        <f t="shared" si="75"/>
        <v>0</v>
      </c>
      <c r="S240" s="21" t="e">
        <f t="shared" ca="1" si="76"/>
        <v>#VALUE!</v>
      </c>
      <c r="T240" s="21" t="e">
        <f t="shared" ca="1" si="77"/>
        <v>#VALUE!</v>
      </c>
      <c r="U240" s="21" t="e">
        <f t="shared" ca="1" si="87"/>
        <v>#VALUE!</v>
      </c>
      <c r="V240" s="60" t="e">
        <f t="shared" ca="1" si="88"/>
        <v>#VALUE!</v>
      </c>
      <c r="W240" s="61" t="e">
        <f t="shared" ca="1" si="71"/>
        <v>#VALUE!</v>
      </c>
    </row>
    <row r="241" spans="1:23" x14ac:dyDescent="0.25">
      <c r="A241" s="58" t="str">
        <f t="shared" si="72"/>
        <v/>
      </c>
      <c r="B241" s="55" t="str">
        <f t="shared" si="83"/>
        <v/>
      </c>
      <c r="C241" s="55" t="str">
        <f t="shared" ca="1" si="73"/>
        <v xml:space="preserve"> </v>
      </c>
      <c r="D241" s="58" t="str">
        <f t="shared" si="81"/>
        <v/>
      </c>
      <c r="E241" s="56" t="str">
        <f t="shared" si="82"/>
        <v/>
      </c>
      <c r="F241" s="56" t="str">
        <f>IF(AND(A240="",A242=""),"",IF(A241="",ROUND(SUM($F$25:F240),2),IF(A241=$D$8,$E$24-ROUND(SUM($F$25:F240),2),ROUND($E$24/$D$8,2))))</f>
        <v/>
      </c>
      <c r="G241" s="56" t="str">
        <f>IF(A240=$D$8,ROUND(SUM($G$25:G240),2),IF(A241&gt;$D$8,"",IF(T241&lt;&gt;T240,ROUND(SUM(V241*$D$9*E240/T241,W241*$D$9*E240/T240),2),ROUND(E240*$D$9*D241/T240,2))))</f>
        <v/>
      </c>
      <c r="H241" s="56" t="str">
        <f>IF(A240=$D$8,SUM($H$25:H240),IF(A240&gt;$D$8,"",F241+G241))</f>
        <v/>
      </c>
      <c r="I241" s="56" t="str">
        <f t="shared" si="84"/>
        <v/>
      </c>
      <c r="J241" s="56" t="str">
        <f>IF($D$8&gt;A240,$N$9,IF($D$8=A240,SUM($J$24:J240)," "))</f>
        <v xml:space="preserve"> </v>
      </c>
      <c r="K241" s="56" t="str">
        <f>IF($D$8&gt;A240,($O$8+$N$10*E240),IF(A240=$D$8,$K$37+$K$24+$K$49+$K$61+$K$73+$K$85+$K$97+$K$109+$K$121+$K$133+$K$145+$K$157+$K$169+$K$181+$K$193+$K$205+$K$217+$K$229,""))</f>
        <v/>
      </c>
      <c r="L241" s="56" t="str">
        <f t="shared" si="86"/>
        <v/>
      </c>
      <c r="M241" s="56" t="str">
        <f t="shared" si="79"/>
        <v/>
      </c>
      <c r="N241" s="56" t="str">
        <f t="shared" si="80"/>
        <v/>
      </c>
      <c r="P241" s="59" t="str">
        <f>IF(A240=$D$8,XIRR(H$24:H240,C$24:C240),"")</f>
        <v/>
      </c>
      <c r="Q241" s="56" t="str">
        <f t="shared" si="78"/>
        <v/>
      </c>
      <c r="R241" s="56">
        <f t="shared" si="75"/>
        <v>0</v>
      </c>
      <c r="S241" s="21" t="e">
        <f t="shared" ca="1" si="76"/>
        <v>#VALUE!</v>
      </c>
      <c r="T241" s="21" t="e">
        <f t="shared" ca="1" si="77"/>
        <v>#VALUE!</v>
      </c>
      <c r="U241" s="21" t="e">
        <f t="shared" ca="1" si="87"/>
        <v>#VALUE!</v>
      </c>
      <c r="V241" s="60" t="e">
        <f t="shared" ca="1" si="88"/>
        <v>#VALUE!</v>
      </c>
      <c r="W241" s="61" t="e">
        <f t="shared" ca="1" si="71"/>
        <v>#VALUE!</v>
      </c>
    </row>
    <row r="242" spans="1:23" x14ac:dyDescent="0.25">
      <c r="A242" s="58" t="str">
        <f t="shared" si="72"/>
        <v/>
      </c>
      <c r="B242" s="55" t="str">
        <f t="shared" si="83"/>
        <v/>
      </c>
      <c r="C242" s="55" t="str">
        <f t="shared" ca="1" si="73"/>
        <v xml:space="preserve"> </v>
      </c>
      <c r="D242" s="58" t="str">
        <f t="shared" si="81"/>
        <v/>
      </c>
      <c r="E242" s="56" t="str">
        <f t="shared" si="82"/>
        <v/>
      </c>
      <c r="F242" s="56" t="str">
        <f>IF(AND(A241="",A243=""),"",IF(A242="",ROUND(SUM($F$25:F241),2),IF(A242=$D$8,$E$24-ROUND(SUM($F$25:F241),2),ROUND($E$24/$D$8,2))))</f>
        <v/>
      </c>
      <c r="G242" s="56" t="str">
        <f>IF(A241=$D$8,ROUND(SUM($G$25:G241),2),IF(A242&gt;$D$8,"",IF(T242&lt;&gt;T241,ROUND(SUM(V242*$D$9*E241/T242,W242*$D$9*E241/T241),2),ROUND(E241*$D$9*D242/T241,2))))</f>
        <v/>
      </c>
      <c r="H242" s="56" t="str">
        <f>IF(A241=$D$8,SUM($H$25:H241),IF(A241&gt;$D$8,"",F242+G242))</f>
        <v/>
      </c>
      <c r="I242" s="56" t="str">
        <f t="shared" si="84"/>
        <v/>
      </c>
      <c r="J242" s="56" t="str">
        <f t="shared" ref="J242:J252" si="89">IF(A241=$D$8,$J$24,"")</f>
        <v/>
      </c>
      <c r="K242" s="56"/>
      <c r="L242" s="56" t="str">
        <f t="shared" si="86"/>
        <v/>
      </c>
      <c r="M242" s="56" t="str">
        <f t="shared" si="79"/>
        <v/>
      </c>
      <c r="N242" s="56" t="str">
        <f t="shared" si="80"/>
        <v/>
      </c>
      <c r="P242" s="59" t="str">
        <f>IF(A241=$D$8,XIRR(H$24:H241,C$24:C241),"")</f>
        <v/>
      </c>
      <c r="Q242" s="56" t="str">
        <f t="shared" si="78"/>
        <v/>
      </c>
      <c r="R242" s="56">
        <f t="shared" si="75"/>
        <v>0</v>
      </c>
      <c r="S242" s="21" t="e">
        <f t="shared" ca="1" si="76"/>
        <v>#VALUE!</v>
      </c>
      <c r="T242" s="21" t="e">
        <f t="shared" ca="1" si="77"/>
        <v>#VALUE!</v>
      </c>
      <c r="U242" s="21" t="e">
        <f t="shared" ca="1" si="87"/>
        <v>#VALUE!</v>
      </c>
      <c r="V242" s="60" t="e">
        <f t="shared" ca="1" si="88"/>
        <v>#VALUE!</v>
      </c>
      <c r="W242" s="61" t="e">
        <f t="shared" ca="1" si="71"/>
        <v>#VALUE!</v>
      </c>
    </row>
    <row r="243" spans="1:23" x14ac:dyDescent="0.25">
      <c r="A243" s="58" t="str">
        <f t="shared" si="72"/>
        <v/>
      </c>
      <c r="B243" s="55" t="str">
        <f t="shared" si="83"/>
        <v/>
      </c>
      <c r="C243" s="55" t="str">
        <f t="shared" ca="1" si="73"/>
        <v xml:space="preserve"> </v>
      </c>
      <c r="D243" s="58" t="str">
        <f t="shared" si="81"/>
        <v/>
      </c>
      <c r="E243" s="56" t="str">
        <f t="shared" si="82"/>
        <v/>
      </c>
      <c r="F243" s="56" t="str">
        <f>IF(AND(A242="",A244=""),"",IF(A243="",ROUND(SUM($F$25:F242),2),IF(A243=$D$8,$E$24-ROUND(SUM($F$25:F242),2),ROUND($E$24/$D$8,2))))</f>
        <v/>
      </c>
      <c r="G243" s="56" t="str">
        <f>IF(A242=$D$8,ROUND(SUM($G$25:G242),2),IF(A243&gt;$D$8,"",IF(T243&lt;&gt;T242,ROUND(SUM(V243*$D$9*E242/T243,W243*$D$9*E242/T242),2),ROUND(E242*$D$9*D243/T242,2))))</f>
        <v/>
      </c>
      <c r="H243" s="56" t="str">
        <f>IF(A242=$D$8,SUM($H$25:H242),IF(A242&gt;$D$8,"",F243+G243))</f>
        <v/>
      </c>
      <c r="I243" s="56" t="str">
        <f t="shared" si="84"/>
        <v/>
      </c>
      <c r="J243" s="56" t="str">
        <f t="shared" si="89"/>
        <v/>
      </c>
      <c r="K243" s="56"/>
      <c r="L243" s="56" t="str">
        <f t="shared" si="86"/>
        <v/>
      </c>
      <c r="M243" s="56" t="str">
        <f t="shared" si="79"/>
        <v/>
      </c>
      <c r="N243" s="56" t="str">
        <f t="shared" si="80"/>
        <v/>
      </c>
      <c r="P243" s="59" t="str">
        <f>IF(A242=$D$8,XIRR(H$24:H242,C$24:C242),"")</f>
        <v/>
      </c>
      <c r="Q243" s="56" t="str">
        <f t="shared" si="78"/>
        <v/>
      </c>
      <c r="R243" s="56">
        <f t="shared" si="75"/>
        <v>0</v>
      </c>
      <c r="S243" s="21" t="e">
        <f t="shared" ca="1" si="76"/>
        <v>#VALUE!</v>
      </c>
      <c r="T243" s="21" t="e">
        <f t="shared" ca="1" si="77"/>
        <v>#VALUE!</v>
      </c>
      <c r="U243" s="21" t="e">
        <f t="shared" ca="1" si="87"/>
        <v>#VALUE!</v>
      </c>
      <c r="V243" s="60" t="e">
        <f t="shared" ca="1" si="88"/>
        <v>#VALUE!</v>
      </c>
      <c r="W243" s="61" t="e">
        <f t="shared" ca="1" si="71"/>
        <v>#VALUE!</v>
      </c>
    </row>
    <row r="244" spans="1:23" x14ac:dyDescent="0.25">
      <c r="A244" s="58" t="str">
        <f t="shared" si="72"/>
        <v/>
      </c>
      <c r="B244" s="55" t="str">
        <f t="shared" si="83"/>
        <v/>
      </c>
      <c r="C244" s="55" t="str">
        <f t="shared" ca="1" si="73"/>
        <v xml:space="preserve"> </v>
      </c>
      <c r="D244" s="58" t="str">
        <f t="shared" si="81"/>
        <v/>
      </c>
      <c r="E244" s="56" t="str">
        <f t="shared" si="82"/>
        <v/>
      </c>
      <c r="F244" s="56" t="str">
        <f>IF(AND(A243="",A245=""),"",IF(A244="",ROUND(SUM($F$25:F243),2),IF(A244=$D$8,$E$24-ROUND(SUM($F$25:F243),2),ROUND($E$24/$D$8,2))))</f>
        <v/>
      </c>
      <c r="G244" s="56" t="str">
        <f>IF(A243=$D$8,ROUND(SUM($G$25:G243),2),IF(A244&gt;$D$8,"",IF(T244&lt;&gt;T243,ROUND(SUM(V244*$D$9*E243/T244,W244*$D$9*E243/T243),2),ROUND(E243*$D$9*D244/T243,2))))</f>
        <v/>
      </c>
      <c r="H244" s="56" t="str">
        <f>IF(A243=$D$8,SUM($H$25:H243),IF(A243&gt;$D$8,"",F244+G244))</f>
        <v/>
      </c>
      <c r="I244" s="56" t="str">
        <f t="shared" si="84"/>
        <v/>
      </c>
      <c r="J244" s="56" t="str">
        <f t="shared" si="89"/>
        <v/>
      </c>
      <c r="K244" s="56"/>
      <c r="L244" s="56" t="str">
        <f t="shared" si="86"/>
        <v/>
      </c>
      <c r="M244" s="56" t="str">
        <f t="shared" si="79"/>
        <v/>
      </c>
      <c r="N244" s="56" t="str">
        <f t="shared" si="80"/>
        <v/>
      </c>
      <c r="P244" s="59" t="str">
        <f>IF(A243=$D$8,XIRR(H$24:H243,C$24:C243),"")</f>
        <v/>
      </c>
      <c r="Q244" s="56" t="str">
        <f t="shared" si="78"/>
        <v/>
      </c>
      <c r="R244" s="56">
        <f t="shared" si="75"/>
        <v>0</v>
      </c>
      <c r="S244" s="21" t="e">
        <f t="shared" ca="1" si="76"/>
        <v>#VALUE!</v>
      </c>
      <c r="T244" s="21" t="e">
        <f t="shared" ca="1" si="77"/>
        <v>#VALUE!</v>
      </c>
      <c r="U244" s="21" t="e">
        <f t="shared" ca="1" si="87"/>
        <v>#VALUE!</v>
      </c>
      <c r="V244" s="60" t="e">
        <f t="shared" ca="1" si="88"/>
        <v>#VALUE!</v>
      </c>
      <c r="W244" s="61" t="e">
        <f t="shared" ca="1" si="71"/>
        <v>#VALUE!</v>
      </c>
    </row>
    <row r="245" spans="1:23" x14ac:dyDescent="0.25">
      <c r="A245" s="58" t="str">
        <f t="shared" si="72"/>
        <v/>
      </c>
      <c r="B245" s="55" t="str">
        <f t="shared" si="83"/>
        <v/>
      </c>
      <c r="C245" s="55" t="str">
        <f t="shared" ca="1" si="73"/>
        <v xml:space="preserve"> </v>
      </c>
      <c r="D245" s="58" t="str">
        <f t="shared" si="81"/>
        <v/>
      </c>
      <c r="E245" s="56" t="str">
        <f t="shared" si="82"/>
        <v/>
      </c>
      <c r="F245" s="56" t="str">
        <f>IF(AND(A244="",A246=""),"",IF(A245="",ROUND(SUM($F$25:F244),2),IF(A245=$D$8,$E$24-ROUND(SUM($F$25:F244),2),ROUND($E$24/$D$8,2))))</f>
        <v/>
      </c>
      <c r="G245" s="56" t="str">
        <f>IF(A244=$D$8,ROUND(SUM($G$25:G244),2),IF(A245&gt;$D$8,"",IF(T245&lt;&gt;T244,ROUND(SUM(V245*$D$9*E244/T245,W245*$D$9*E244/T244),2),ROUND(E244*$D$9*D245/T244,2))))</f>
        <v/>
      </c>
      <c r="H245" s="56" t="str">
        <f>IF(A244=$D$8,SUM($H$25:H244),IF(A244&gt;$D$8,"",F245+G245))</f>
        <v/>
      </c>
      <c r="I245" s="56" t="str">
        <f t="shared" si="84"/>
        <v/>
      </c>
      <c r="J245" s="56" t="str">
        <f t="shared" si="89"/>
        <v/>
      </c>
      <c r="K245" s="56"/>
      <c r="L245" s="56" t="str">
        <f t="shared" si="86"/>
        <v/>
      </c>
      <c r="M245" s="56" t="str">
        <f t="shared" si="79"/>
        <v/>
      </c>
      <c r="N245" s="56" t="str">
        <f t="shared" si="80"/>
        <v/>
      </c>
      <c r="P245" s="59" t="str">
        <f>IF(A244=$D$8,XIRR(H$24:H244,C$24:C244),"")</f>
        <v/>
      </c>
      <c r="Q245" s="56" t="str">
        <f t="shared" si="78"/>
        <v/>
      </c>
      <c r="R245" s="56">
        <f t="shared" si="75"/>
        <v>0</v>
      </c>
      <c r="S245" s="21" t="e">
        <f t="shared" ca="1" si="76"/>
        <v>#VALUE!</v>
      </c>
      <c r="T245" s="21" t="e">
        <f t="shared" ca="1" si="77"/>
        <v>#VALUE!</v>
      </c>
      <c r="U245" s="21" t="e">
        <f t="shared" ca="1" si="87"/>
        <v>#VALUE!</v>
      </c>
      <c r="V245" s="60" t="e">
        <f t="shared" ca="1" si="88"/>
        <v>#VALUE!</v>
      </c>
      <c r="W245" s="61" t="e">
        <f t="shared" ca="1" si="71"/>
        <v>#VALUE!</v>
      </c>
    </row>
    <row r="246" spans="1:23" x14ac:dyDescent="0.25">
      <c r="A246" s="58" t="str">
        <f t="shared" si="72"/>
        <v/>
      </c>
      <c r="B246" s="55" t="str">
        <f t="shared" si="83"/>
        <v/>
      </c>
      <c r="C246" s="55" t="str">
        <f t="shared" ca="1" si="73"/>
        <v xml:space="preserve"> </v>
      </c>
      <c r="D246" s="58" t="str">
        <f t="shared" si="81"/>
        <v/>
      </c>
      <c r="E246" s="56" t="str">
        <f t="shared" si="82"/>
        <v/>
      </c>
      <c r="F246" s="56" t="str">
        <f>IF(AND(A245="",A247=""),"",IF(A246="",ROUND(SUM($F$25:F245),2),IF(A246=$D$8,$E$24-ROUND(SUM($F$25:F245),2),ROUND($E$24/$D$8,2))))</f>
        <v/>
      </c>
      <c r="G246" s="56" t="str">
        <f>IF(A245=$D$8,ROUND(SUM($G$25:G245),2),IF(A246&gt;$D$8,"",IF(T246&lt;&gt;T245,ROUND(SUM(V246*$D$9*E245/T246,W246*$D$9*E245/T245),2),ROUND(E245*$D$9*D246/T245,2))))</f>
        <v/>
      </c>
      <c r="H246" s="56" t="str">
        <f>IF(A245=$D$8,SUM($H$25:H245),IF(A245&gt;$D$8,"",F246+G246))</f>
        <v/>
      </c>
      <c r="I246" s="56" t="str">
        <f t="shared" si="84"/>
        <v/>
      </c>
      <c r="J246" s="56" t="str">
        <f t="shared" si="89"/>
        <v/>
      </c>
      <c r="K246" s="56"/>
      <c r="L246" s="56" t="str">
        <f t="shared" si="86"/>
        <v/>
      </c>
      <c r="M246" s="56" t="str">
        <f t="shared" si="79"/>
        <v/>
      </c>
      <c r="N246" s="56" t="str">
        <f t="shared" si="80"/>
        <v/>
      </c>
      <c r="P246" s="59" t="str">
        <f>IF(A245=$D$8,XIRR(H$24:H245,C$24:C245),"")</f>
        <v/>
      </c>
      <c r="Q246" s="56" t="str">
        <f t="shared" si="78"/>
        <v/>
      </c>
      <c r="R246" s="56">
        <f t="shared" si="75"/>
        <v>0</v>
      </c>
      <c r="S246" s="21" t="e">
        <f t="shared" ca="1" si="76"/>
        <v>#VALUE!</v>
      </c>
      <c r="T246" s="21" t="e">
        <f t="shared" ca="1" si="77"/>
        <v>#VALUE!</v>
      </c>
      <c r="U246" s="21" t="e">
        <f t="shared" ca="1" si="87"/>
        <v>#VALUE!</v>
      </c>
      <c r="V246" s="60" t="e">
        <f t="shared" ca="1" si="88"/>
        <v>#VALUE!</v>
      </c>
      <c r="W246" s="61" t="e">
        <f t="shared" ca="1" si="71"/>
        <v>#VALUE!</v>
      </c>
    </row>
    <row r="247" spans="1:23" x14ac:dyDescent="0.25">
      <c r="A247" s="58" t="str">
        <f t="shared" si="72"/>
        <v/>
      </c>
      <c r="B247" s="55" t="str">
        <f t="shared" si="83"/>
        <v/>
      </c>
      <c r="C247" s="55" t="str">
        <f t="shared" ca="1" si="73"/>
        <v xml:space="preserve"> </v>
      </c>
      <c r="D247" s="58" t="str">
        <f t="shared" si="81"/>
        <v/>
      </c>
      <c r="E247" s="56" t="str">
        <f t="shared" si="82"/>
        <v/>
      </c>
      <c r="F247" s="56" t="str">
        <f>IF(AND(A246="",A248=""),"",IF(A247="",ROUND(SUM($F$25:F246),2),IF(A247=$D$8,$E$24-ROUND(SUM($F$25:F246),2),ROUND($E$24/$D$8,2))))</f>
        <v/>
      </c>
      <c r="G247" s="56" t="str">
        <f>IF(A246=$D$8,ROUND(SUM($G$25:G246),2),IF(A247&gt;$D$8,"",IF(T247&lt;&gt;T246,ROUND(SUM(V247*$D$9*E246/T247,W247*$D$9*E246/T246),2),ROUND(E246*$D$9*D247/T246,2))))</f>
        <v/>
      </c>
      <c r="H247" s="56" t="str">
        <f>IF(A246=$D$8,SUM($H$25:H246),IF(A246&gt;$D$8,"",F247+G247))</f>
        <v/>
      </c>
      <c r="I247" s="56" t="str">
        <f t="shared" si="84"/>
        <v/>
      </c>
      <c r="J247" s="56" t="str">
        <f t="shared" si="89"/>
        <v/>
      </c>
      <c r="K247" s="56"/>
      <c r="L247" s="56" t="str">
        <f t="shared" si="86"/>
        <v/>
      </c>
      <c r="M247" s="56" t="str">
        <f t="shared" si="79"/>
        <v/>
      </c>
      <c r="N247" s="56" t="str">
        <f t="shared" si="80"/>
        <v/>
      </c>
      <c r="P247" s="59" t="str">
        <f>IF(A246=$D$8,XIRR(H$24:H246,C$24:C246),"")</f>
        <v/>
      </c>
      <c r="Q247" s="56" t="str">
        <f t="shared" si="78"/>
        <v/>
      </c>
      <c r="R247" s="56">
        <f t="shared" si="75"/>
        <v>0</v>
      </c>
      <c r="S247" s="21" t="e">
        <f t="shared" ca="1" si="76"/>
        <v>#VALUE!</v>
      </c>
      <c r="T247" s="21" t="e">
        <f t="shared" ca="1" si="77"/>
        <v>#VALUE!</v>
      </c>
      <c r="U247" s="21" t="e">
        <f t="shared" ca="1" si="87"/>
        <v>#VALUE!</v>
      </c>
      <c r="V247" s="60" t="e">
        <f t="shared" ca="1" si="88"/>
        <v>#VALUE!</v>
      </c>
      <c r="W247" s="61" t="e">
        <f t="shared" ca="1" si="71"/>
        <v>#VALUE!</v>
      </c>
    </row>
    <row r="248" spans="1:23" x14ac:dyDescent="0.25">
      <c r="A248" s="58" t="str">
        <f t="shared" si="72"/>
        <v/>
      </c>
      <c r="B248" s="55" t="str">
        <f t="shared" si="83"/>
        <v/>
      </c>
      <c r="C248" s="55" t="str">
        <f t="shared" ca="1" si="73"/>
        <v xml:space="preserve"> </v>
      </c>
      <c r="D248" s="58" t="str">
        <f t="shared" si="81"/>
        <v/>
      </c>
      <c r="E248" s="56" t="str">
        <f t="shared" si="82"/>
        <v/>
      </c>
      <c r="F248" s="56" t="str">
        <f>IF(AND(A247="",A249=""),"",IF(A248="",ROUND(SUM($F$25:F247),2),IF(A248=$D$8,$E$24-ROUND(SUM($F$25:F247),2),ROUND($E$24/$D$8,2))))</f>
        <v/>
      </c>
      <c r="G248" s="56" t="str">
        <f>IF(A247=$D$8,ROUND(SUM($G$25:G247),2),IF(A248&gt;$D$8,"",IF(T248&lt;&gt;T247,ROUND(SUM(V248*$D$9*E247/T248,W248*$D$9*E247/T247),2),ROUND(E247*$D$9*D248/T247,2))))</f>
        <v/>
      </c>
      <c r="H248" s="56" t="str">
        <f>IF(A247=$D$8,SUM($H$25:H247),IF(A247&gt;$D$8,"",F248+G248))</f>
        <v/>
      </c>
      <c r="I248" s="56" t="str">
        <f t="shared" si="84"/>
        <v/>
      </c>
      <c r="J248" s="56" t="str">
        <f t="shared" si="89"/>
        <v/>
      </c>
      <c r="K248" s="56"/>
      <c r="L248" s="56" t="str">
        <f t="shared" si="86"/>
        <v/>
      </c>
      <c r="M248" s="56" t="str">
        <f t="shared" si="79"/>
        <v/>
      </c>
      <c r="N248" s="56" t="str">
        <f t="shared" si="80"/>
        <v/>
      </c>
      <c r="P248" s="59" t="str">
        <f>IF(A247=$D$8,XIRR(H$24:H247,C$24:C247),"")</f>
        <v/>
      </c>
      <c r="Q248" s="56" t="str">
        <f t="shared" si="78"/>
        <v/>
      </c>
      <c r="R248" s="56">
        <f t="shared" si="75"/>
        <v>0</v>
      </c>
      <c r="S248" s="21" t="e">
        <f t="shared" ca="1" si="76"/>
        <v>#VALUE!</v>
      </c>
      <c r="T248" s="21" t="e">
        <f t="shared" ca="1" si="77"/>
        <v>#VALUE!</v>
      </c>
      <c r="U248" s="21" t="e">
        <f t="shared" ca="1" si="87"/>
        <v>#VALUE!</v>
      </c>
      <c r="V248" s="60" t="e">
        <f t="shared" ca="1" si="88"/>
        <v>#VALUE!</v>
      </c>
      <c r="W248" s="61" t="e">
        <f t="shared" ca="1" si="71"/>
        <v>#VALUE!</v>
      </c>
    </row>
    <row r="249" spans="1:23" x14ac:dyDescent="0.25">
      <c r="A249" s="58" t="str">
        <f t="shared" si="72"/>
        <v/>
      </c>
      <c r="B249" s="55" t="str">
        <f t="shared" si="83"/>
        <v/>
      </c>
      <c r="C249" s="55" t="str">
        <f t="shared" ca="1" si="73"/>
        <v xml:space="preserve"> </v>
      </c>
      <c r="D249" s="58" t="str">
        <f t="shared" si="81"/>
        <v/>
      </c>
      <c r="E249" s="56" t="str">
        <f t="shared" si="82"/>
        <v/>
      </c>
      <c r="F249" s="56" t="str">
        <f>IF(AND(A248="",A250=""),"",IF(A249="",ROUND(SUM($F$25:F248),2),IF(A249=$D$8,$E$24-ROUND(SUM($F$25:F248),2),ROUND($E$24/$D$8,2))))</f>
        <v/>
      </c>
      <c r="G249" s="56" t="str">
        <f>IF(A248=$D$8,ROUND(SUM($G$25:G248),2),IF(A249&gt;$D$8,"",IF(T249&lt;&gt;T248,ROUND(SUM(V249*$D$9*E248/T249,W249*$D$9*E248/T248),2),ROUND(E248*$D$9*D249/T248,2))))</f>
        <v/>
      </c>
      <c r="H249" s="56" t="str">
        <f>IF(A248=$D$8,SUM($H$25:H248),IF(A248&gt;$D$8,"",F249+G249))</f>
        <v/>
      </c>
      <c r="I249" s="56" t="str">
        <f t="shared" si="84"/>
        <v/>
      </c>
      <c r="J249" s="56" t="str">
        <f t="shared" si="89"/>
        <v/>
      </c>
      <c r="K249" s="56"/>
      <c r="L249" s="56" t="str">
        <f t="shared" si="86"/>
        <v/>
      </c>
      <c r="M249" s="56" t="str">
        <f t="shared" si="79"/>
        <v/>
      </c>
      <c r="N249" s="56" t="str">
        <f t="shared" si="80"/>
        <v/>
      </c>
      <c r="P249" s="59" t="str">
        <f>IF(A248=$D$8,XIRR(H$24:H248,C$24:C248),"")</f>
        <v/>
      </c>
      <c r="Q249" s="56" t="str">
        <f t="shared" si="78"/>
        <v/>
      </c>
      <c r="R249" s="56">
        <f t="shared" si="75"/>
        <v>0</v>
      </c>
      <c r="S249" s="21" t="e">
        <f t="shared" ca="1" si="76"/>
        <v>#VALUE!</v>
      </c>
      <c r="T249" s="21" t="e">
        <f t="shared" ca="1" si="77"/>
        <v>#VALUE!</v>
      </c>
      <c r="U249" s="21" t="e">
        <f t="shared" ca="1" si="87"/>
        <v>#VALUE!</v>
      </c>
      <c r="V249" s="60" t="e">
        <f t="shared" ca="1" si="88"/>
        <v>#VALUE!</v>
      </c>
      <c r="W249" s="61" t="e">
        <f t="shared" ca="1" si="71"/>
        <v>#VALUE!</v>
      </c>
    </row>
    <row r="250" spans="1:23" x14ac:dyDescent="0.25">
      <c r="A250" s="58" t="str">
        <f t="shared" si="72"/>
        <v/>
      </c>
      <c r="B250" s="55" t="str">
        <f t="shared" si="83"/>
        <v/>
      </c>
      <c r="C250" s="55" t="str">
        <f t="shared" ca="1" si="73"/>
        <v xml:space="preserve"> </v>
      </c>
      <c r="D250" s="58" t="str">
        <f t="shared" si="81"/>
        <v/>
      </c>
      <c r="E250" s="56" t="str">
        <f t="shared" si="82"/>
        <v/>
      </c>
      <c r="F250" s="56" t="str">
        <f>IF(AND(A249="",A251=""),"",IF(A250="",ROUND(SUM($F$25:F249),2),IF(A250=$D$8,$E$24-ROUND(SUM($F$25:F249),2),ROUND($E$24/$D$8,2))))</f>
        <v/>
      </c>
      <c r="G250" s="56" t="str">
        <f>IF(A249=$D$8,ROUND(SUM($G$25:G249),2),IF(A250&gt;$D$8,"",IF(T250&lt;&gt;T249,ROUND(SUM(V250*$D$9*E249/T250,W250*$D$9*E249/T249),2),ROUND(E249*$D$9*D250/T249,2))))</f>
        <v/>
      </c>
      <c r="H250" s="56" t="str">
        <f>IF(A249=$D$8,SUM($H$25:H249),IF(A249&gt;$D$8,"",F250+G250))</f>
        <v/>
      </c>
      <c r="I250" s="56" t="str">
        <f t="shared" si="84"/>
        <v/>
      </c>
      <c r="J250" s="56" t="str">
        <f t="shared" si="89"/>
        <v/>
      </c>
      <c r="K250" s="56"/>
      <c r="L250" s="56" t="str">
        <f t="shared" si="86"/>
        <v/>
      </c>
      <c r="M250" s="56" t="str">
        <f t="shared" si="79"/>
        <v/>
      </c>
      <c r="N250" s="56" t="str">
        <f t="shared" si="80"/>
        <v/>
      </c>
      <c r="P250" s="59" t="str">
        <f>IF(A249=$D$8,XIRR(H$24:H249,C$24:C249),"")</f>
        <v/>
      </c>
      <c r="Q250" s="56" t="str">
        <f t="shared" si="78"/>
        <v/>
      </c>
      <c r="R250" s="56">
        <f t="shared" si="75"/>
        <v>0</v>
      </c>
      <c r="S250" s="21" t="e">
        <f t="shared" ca="1" si="76"/>
        <v>#VALUE!</v>
      </c>
      <c r="T250" s="21" t="e">
        <f t="shared" ca="1" si="77"/>
        <v>#VALUE!</v>
      </c>
      <c r="U250" s="21" t="e">
        <f t="shared" ca="1" si="87"/>
        <v>#VALUE!</v>
      </c>
      <c r="V250" s="60" t="e">
        <f t="shared" ca="1" si="88"/>
        <v>#VALUE!</v>
      </c>
      <c r="W250" s="61" t="e">
        <f t="shared" ca="1" si="71"/>
        <v>#VALUE!</v>
      </c>
    </row>
    <row r="251" spans="1:23" x14ac:dyDescent="0.25">
      <c r="A251" s="58" t="str">
        <f t="shared" si="72"/>
        <v/>
      </c>
      <c r="B251" s="55" t="str">
        <f t="shared" si="83"/>
        <v/>
      </c>
      <c r="C251" s="55" t="str">
        <f t="shared" ca="1" si="73"/>
        <v xml:space="preserve"> </v>
      </c>
      <c r="D251" s="58" t="str">
        <f t="shared" si="81"/>
        <v/>
      </c>
      <c r="E251" s="56" t="str">
        <f t="shared" si="82"/>
        <v/>
      </c>
      <c r="F251" s="56" t="str">
        <f>IF(AND(A250="",A252=""),"",IF(A251="",ROUND(SUM($F$25:F250),2),IF(A251=$D$8,$E$24-ROUND(SUM($F$25:F250),2),ROUND($E$24/$D$8,2))))</f>
        <v/>
      </c>
      <c r="G251" s="56" t="str">
        <f>IF(A250=$D$8,ROUND(SUM($G$25:G250),2),IF(A251&gt;$D$8,"",IF(T251&lt;&gt;T250,ROUND(SUM(V251*$D$9*E250/T251,W251*$D$9*E250/T250),2),ROUND(E250*$D$9*D251/T250,2))))</f>
        <v/>
      </c>
      <c r="H251" s="56" t="str">
        <f>IF(A250=$D$8,SUM($H$25:H250),IF(A250&gt;$D$8,"",F251+G251))</f>
        <v/>
      </c>
      <c r="I251" s="56" t="str">
        <f t="shared" si="84"/>
        <v/>
      </c>
      <c r="J251" s="56" t="str">
        <f t="shared" si="89"/>
        <v/>
      </c>
      <c r="K251" s="56"/>
      <c r="L251" s="56" t="str">
        <f t="shared" si="86"/>
        <v/>
      </c>
      <c r="M251" s="56" t="str">
        <f t="shared" si="79"/>
        <v/>
      </c>
      <c r="N251" s="56" t="str">
        <f t="shared" si="80"/>
        <v/>
      </c>
      <c r="P251" s="59" t="str">
        <f>IF(A250=$D$8,XIRR(H$24:H250,C$24:C250),"")</f>
        <v/>
      </c>
      <c r="Q251" s="56" t="str">
        <f t="shared" si="78"/>
        <v/>
      </c>
      <c r="R251" s="56">
        <f t="shared" si="75"/>
        <v>0</v>
      </c>
      <c r="S251" s="21" t="e">
        <f t="shared" ca="1" si="76"/>
        <v>#VALUE!</v>
      </c>
      <c r="T251" s="21" t="e">
        <f t="shared" ca="1" si="77"/>
        <v>#VALUE!</v>
      </c>
      <c r="U251" s="21" t="e">
        <f t="shared" ca="1" si="87"/>
        <v>#VALUE!</v>
      </c>
      <c r="V251" s="60" t="e">
        <f t="shared" ca="1" si="88"/>
        <v>#VALUE!</v>
      </c>
      <c r="W251" s="61" t="e">
        <f t="shared" ca="1" si="71"/>
        <v>#VALUE!</v>
      </c>
    </row>
    <row r="252" spans="1:23" x14ac:dyDescent="0.25">
      <c r="A252" s="58" t="str">
        <f t="shared" si="72"/>
        <v/>
      </c>
      <c r="B252" s="55" t="str">
        <f t="shared" si="83"/>
        <v/>
      </c>
      <c r="C252" s="55" t="str">
        <f t="shared" ca="1" si="73"/>
        <v xml:space="preserve"> </v>
      </c>
      <c r="D252" s="58" t="str">
        <f t="shared" si="81"/>
        <v/>
      </c>
      <c r="E252" s="56" t="str">
        <f t="shared" si="82"/>
        <v/>
      </c>
      <c r="F252" s="56" t="str">
        <f>IF(AND(A251="",A253=""),"",IF(A252="",ROUND(SUM($F$25:F251),2),IF(A252=$D$8,$E$24-ROUND(SUM($F$25:F251),2),ROUND($E$24/$D$8,2))))</f>
        <v/>
      </c>
      <c r="G252" s="56" t="str">
        <f>IF(A251=$D$8,ROUND(SUM($G$25:G251),2),IF(A252&gt;$D$8,"",IF(T252&lt;&gt;T251,ROUND(SUM(V252*$D$9*E251/T252,W252*$D$9*E251/T251),2),ROUND(E251*$D$9*D252/T251,2))))</f>
        <v/>
      </c>
      <c r="H252" s="56" t="str">
        <f>IF(A251=$D$8,SUM($H$25:H251),IF(A251&gt;$D$8,"",F252+G252))</f>
        <v/>
      </c>
      <c r="I252" s="56" t="str">
        <f t="shared" si="84"/>
        <v/>
      </c>
      <c r="J252" s="56" t="str">
        <f t="shared" si="89"/>
        <v/>
      </c>
      <c r="K252" s="56"/>
      <c r="L252" s="56" t="str">
        <f t="shared" si="86"/>
        <v/>
      </c>
      <c r="M252" s="56" t="str">
        <f t="shared" si="79"/>
        <v/>
      </c>
      <c r="N252" s="56" t="str">
        <f t="shared" si="80"/>
        <v/>
      </c>
      <c r="P252" s="59" t="str">
        <f>IF(A251=$D$8,XIRR(H$24:H251,C$24:C251),"")</f>
        <v/>
      </c>
      <c r="Q252" s="56" t="str">
        <f t="shared" si="78"/>
        <v/>
      </c>
      <c r="R252" s="56">
        <f t="shared" si="75"/>
        <v>0</v>
      </c>
      <c r="S252" s="21" t="e">
        <f t="shared" ca="1" si="76"/>
        <v>#VALUE!</v>
      </c>
      <c r="T252" s="21" t="e">
        <f t="shared" ca="1" si="77"/>
        <v>#VALUE!</v>
      </c>
      <c r="U252" s="21" t="e">
        <f t="shared" ca="1" si="87"/>
        <v>#VALUE!</v>
      </c>
      <c r="V252" s="60" t="e">
        <f t="shared" ca="1" si="88"/>
        <v>#VALUE!</v>
      </c>
      <c r="W252" s="61" t="e">
        <f t="shared" ca="1" si="71"/>
        <v>#VALUE!</v>
      </c>
    </row>
    <row r="253" spans="1:23" x14ac:dyDescent="0.25">
      <c r="A253" s="58" t="str">
        <f t="shared" si="72"/>
        <v/>
      </c>
      <c r="B253" s="55" t="str">
        <f t="shared" si="83"/>
        <v/>
      </c>
      <c r="C253" s="55" t="str">
        <f t="shared" ca="1" si="73"/>
        <v xml:space="preserve"> </v>
      </c>
      <c r="D253" s="58" t="str">
        <f t="shared" si="81"/>
        <v/>
      </c>
      <c r="E253" s="56" t="str">
        <f t="shared" si="82"/>
        <v/>
      </c>
      <c r="F253" s="56" t="str">
        <f>IF(AND(A252="",A254=""),"",IF(A253="",ROUND(SUM($F$25:F252),2),IF(A253=$D$8,$E$24-ROUND(SUM($F$25:F252),2),ROUND($E$24/$D$8,2))))</f>
        <v/>
      </c>
      <c r="G253" s="56" t="str">
        <f>IF(A252=$D$8,ROUND(SUM($G$25:G252),2),IF(A253&gt;$D$8,"",IF(T253&lt;&gt;T252,ROUND(SUM(V253*$D$9*E252/T253,W253*$D$9*E252/T252),2),ROUND(E252*$D$9*D253/T252,2))))</f>
        <v/>
      </c>
      <c r="H253" s="56" t="str">
        <f>IF(A252=$D$8,SUM($H$25:H252),IF(A252&gt;$D$8,"",F253+G253))</f>
        <v/>
      </c>
      <c r="I253" s="56" t="str">
        <f t="shared" si="84"/>
        <v/>
      </c>
      <c r="J253" s="56" t="str">
        <f>IF($D$8&gt;A252,$N$9,IF($D$8=A252,SUM($J$24:J252)," "))</f>
        <v xml:space="preserve"> </v>
      </c>
      <c r="K253" s="56" t="str">
        <f>IF($D$8&gt;A252,($O$8+$N$10*E252),IF(A252=$D$8,$K$37+$K$24+$K$49+$K$61+$K$73+$K$85+$K$97+$K$109+$K$121+$K$133+$K$145+$K$157+$K$169+$K$181+$K$193+$K$205+$K$217+$K$229+$K$241,""))</f>
        <v/>
      </c>
      <c r="L253" s="56" t="str">
        <f t="shared" si="86"/>
        <v/>
      </c>
      <c r="M253" s="56" t="str">
        <f t="shared" si="79"/>
        <v/>
      </c>
      <c r="N253" s="56" t="str">
        <f t="shared" si="80"/>
        <v/>
      </c>
      <c r="P253" s="59" t="str">
        <f>IF(A252=$D$8,XIRR(H$24:H252,C$24:C252),"")</f>
        <v/>
      </c>
      <c r="Q253" s="56" t="str">
        <f t="shared" si="78"/>
        <v/>
      </c>
      <c r="R253" s="56">
        <f t="shared" si="75"/>
        <v>0</v>
      </c>
      <c r="S253" s="21" t="e">
        <f t="shared" ca="1" si="76"/>
        <v>#VALUE!</v>
      </c>
      <c r="T253" s="21" t="e">
        <f t="shared" ca="1" si="77"/>
        <v>#VALUE!</v>
      </c>
      <c r="U253" s="21" t="e">
        <f t="shared" ca="1" si="87"/>
        <v>#VALUE!</v>
      </c>
      <c r="V253" s="60" t="e">
        <f t="shared" ca="1" si="88"/>
        <v>#VALUE!</v>
      </c>
      <c r="W253" s="61" t="e">
        <f t="shared" ca="1" si="71"/>
        <v>#VALUE!</v>
      </c>
    </row>
    <row r="254" spans="1:23" x14ac:dyDescent="0.25">
      <c r="A254" s="58" t="str">
        <f t="shared" si="72"/>
        <v/>
      </c>
      <c r="B254" s="55" t="str">
        <f t="shared" si="83"/>
        <v/>
      </c>
      <c r="C254" s="55" t="str">
        <f t="shared" ca="1" si="73"/>
        <v xml:space="preserve"> </v>
      </c>
      <c r="D254" s="58" t="str">
        <f t="shared" si="81"/>
        <v/>
      </c>
      <c r="E254" s="56" t="str">
        <f t="shared" si="82"/>
        <v/>
      </c>
      <c r="F254" s="56" t="str">
        <f>IF(AND(A253="",A255=""),"",IF(A254="",ROUND(SUM($F$25:F253),2),IF(A254=$D$8,$E$24-ROUND(SUM($F$25:F253),2),ROUND($E$24/$D$8,2))))</f>
        <v/>
      </c>
      <c r="G254" s="56" t="str">
        <f>IF(A253=$D$8,ROUND(SUM($G$25:G253),2),IF(A254&gt;$D$8,"",IF(T254&lt;&gt;T253,ROUND(SUM(V254*$D$9*E253/T254,W254*$D$9*E253/T253),2),ROUND(E253*$D$9*D254/T253,2))))</f>
        <v/>
      </c>
      <c r="H254" s="56" t="str">
        <f>IF(A253=$D$8,SUM($H$25:H253),IF(A253&gt;$D$8,"",F254+G254))</f>
        <v/>
      </c>
      <c r="I254" s="56" t="str">
        <f t="shared" si="84"/>
        <v/>
      </c>
      <c r="J254" s="56" t="str">
        <f t="shared" ref="J254:J264" si="90">IF(A253=$D$8,$J$24,"")</f>
        <v/>
      </c>
      <c r="K254" s="56" t="str">
        <f t="shared" ref="K254:K264" si="91">IF(A253=$D$8,$K$24,"")</f>
        <v/>
      </c>
      <c r="L254" s="56" t="str">
        <f t="shared" si="86"/>
        <v/>
      </c>
      <c r="M254" s="56" t="str">
        <f t="shared" si="79"/>
        <v/>
      </c>
      <c r="N254" s="56" t="str">
        <f t="shared" si="80"/>
        <v/>
      </c>
      <c r="P254" s="59" t="str">
        <f>IF(A253=$D$8,XIRR(H$24:H253,C$24:C253),"")</f>
        <v/>
      </c>
      <c r="Q254" s="56" t="str">
        <f t="shared" si="78"/>
        <v/>
      </c>
      <c r="R254" s="56">
        <f t="shared" si="75"/>
        <v>0</v>
      </c>
      <c r="S254" s="21" t="e">
        <f t="shared" ca="1" si="76"/>
        <v>#VALUE!</v>
      </c>
      <c r="T254" s="21" t="e">
        <f t="shared" ca="1" si="77"/>
        <v>#VALUE!</v>
      </c>
      <c r="U254" s="21" t="e">
        <f t="shared" ca="1" si="87"/>
        <v>#VALUE!</v>
      </c>
      <c r="V254" s="60" t="e">
        <f t="shared" ca="1" si="88"/>
        <v>#VALUE!</v>
      </c>
      <c r="W254" s="61" t="e">
        <f t="shared" ca="1" si="71"/>
        <v>#VALUE!</v>
      </c>
    </row>
    <row r="255" spans="1:23" x14ac:dyDescent="0.25">
      <c r="A255" s="58" t="str">
        <f t="shared" si="72"/>
        <v/>
      </c>
      <c r="B255" s="55" t="str">
        <f t="shared" si="83"/>
        <v/>
      </c>
      <c r="C255" s="55" t="str">
        <f t="shared" ca="1" si="73"/>
        <v xml:space="preserve"> </v>
      </c>
      <c r="D255" s="58" t="str">
        <f t="shared" si="81"/>
        <v/>
      </c>
      <c r="E255" s="56" t="str">
        <f t="shared" si="82"/>
        <v/>
      </c>
      <c r="F255" s="56" t="str">
        <f>IF(AND(A254="",A256=""),"",IF(A255="",ROUND(SUM($F$25:F254),2),IF(A255=$D$8,$E$24-ROUND(SUM($F$25:F254),2),ROUND($E$24/$D$8,2))))</f>
        <v/>
      </c>
      <c r="G255" s="56" t="str">
        <f>IF(A254=$D$8,ROUND(SUM($G$25:G254),2),IF(A255&gt;$D$8,"",IF(T255&lt;&gt;T254,ROUND(SUM(V255*$D$9*E254/T255,W255*$D$9*E254/T254),2),ROUND(E254*$D$9*D255/T254,2))))</f>
        <v/>
      </c>
      <c r="H255" s="56" t="str">
        <f>IF(A254=$D$8,SUM($H$25:H254),IF(A254&gt;$D$8,"",F255+G255))</f>
        <v/>
      </c>
      <c r="I255" s="56" t="str">
        <f t="shared" si="84"/>
        <v/>
      </c>
      <c r="J255" s="56" t="str">
        <f t="shared" si="90"/>
        <v/>
      </c>
      <c r="K255" s="56" t="str">
        <f t="shared" si="91"/>
        <v/>
      </c>
      <c r="L255" s="56" t="str">
        <f t="shared" si="86"/>
        <v/>
      </c>
      <c r="M255" s="56" t="str">
        <f t="shared" si="79"/>
        <v/>
      </c>
      <c r="N255" s="56" t="str">
        <f t="shared" si="80"/>
        <v/>
      </c>
      <c r="P255" s="59" t="str">
        <f>IF(A254=$D$8,XIRR(H$24:H254,C$24:C254),"")</f>
        <v/>
      </c>
      <c r="Q255" s="56" t="str">
        <f t="shared" si="78"/>
        <v/>
      </c>
      <c r="R255" s="56">
        <f t="shared" si="75"/>
        <v>0</v>
      </c>
      <c r="S255" s="21" t="e">
        <f t="shared" ca="1" si="76"/>
        <v>#VALUE!</v>
      </c>
      <c r="T255" s="21" t="e">
        <f t="shared" ca="1" si="77"/>
        <v>#VALUE!</v>
      </c>
      <c r="U255" s="21" t="e">
        <f t="shared" ca="1" si="87"/>
        <v>#VALUE!</v>
      </c>
      <c r="V255" s="60" t="e">
        <f t="shared" ca="1" si="88"/>
        <v>#VALUE!</v>
      </c>
      <c r="W255" s="61" t="e">
        <f t="shared" ca="1" si="71"/>
        <v>#VALUE!</v>
      </c>
    </row>
    <row r="256" spans="1:23" x14ac:dyDescent="0.25">
      <c r="A256" s="58" t="str">
        <f t="shared" si="72"/>
        <v/>
      </c>
      <c r="B256" s="55" t="str">
        <f t="shared" si="83"/>
        <v/>
      </c>
      <c r="C256" s="55" t="str">
        <f t="shared" ca="1" si="73"/>
        <v xml:space="preserve"> </v>
      </c>
      <c r="D256" s="58" t="str">
        <f t="shared" si="81"/>
        <v/>
      </c>
      <c r="E256" s="56" t="str">
        <f t="shared" si="82"/>
        <v/>
      </c>
      <c r="F256" s="56" t="str">
        <f>IF(AND(A255="",A257=""),"",IF(A256="",ROUND(SUM($F$25:F255),2),IF(A256=$D$8,$E$24-ROUND(SUM($F$25:F255),2),ROUND($E$24/$D$8,2))))</f>
        <v/>
      </c>
      <c r="G256" s="56" t="str">
        <f>IF(A255=$D$8,ROUND(SUM($G$25:G255),2),IF(A256&gt;$D$8,"",IF(T256&lt;&gt;T255,ROUND(SUM(V256*$D$9*E255/T256,W256*$D$9*E255/T255),2),ROUND(E255*$D$9*D256/T255,2))))</f>
        <v/>
      </c>
      <c r="H256" s="56" t="str">
        <f>IF(A255=$D$8,SUM($H$25:H255),IF(A255&gt;$D$8,"",F256+G256))</f>
        <v/>
      </c>
      <c r="I256" s="56" t="str">
        <f t="shared" si="84"/>
        <v/>
      </c>
      <c r="J256" s="56" t="str">
        <f t="shared" si="90"/>
        <v/>
      </c>
      <c r="K256" s="56" t="str">
        <f t="shared" si="91"/>
        <v/>
      </c>
      <c r="L256" s="56" t="str">
        <f t="shared" si="86"/>
        <v/>
      </c>
      <c r="M256" s="56" t="str">
        <f t="shared" si="79"/>
        <v/>
      </c>
      <c r="N256" s="56" t="str">
        <f t="shared" si="80"/>
        <v/>
      </c>
      <c r="P256" s="59" t="str">
        <f>IF(A255=$D$8,XIRR(H$24:H255,C$24:C255),"")</f>
        <v/>
      </c>
      <c r="Q256" s="56" t="str">
        <f t="shared" si="78"/>
        <v/>
      </c>
      <c r="R256" s="56">
        <f t="shared" si="75"/>
        <v>0</v>
      </c>
      <c r="S256" s="21" t="e">
        <f t="shared" ca="1" si="76"/>
        <v>#VALUE!</v>
      </c>
      <c r="T256" s="21" t="e">
        <f t="shared" ca="1" si="77"/>
        <v>#VALUE!</v>
      </c>
      <c r="U256" s="21" t="e">
        <f t="shared" ca="1" si="87"/>
        <v>#VALUE!</v>
      </c>
      <c r="V256" s="60" t="e">
        <f t="shared" ca="1" si="88"/>
        <v>#VALUE!</v>
      </c>
      <c r="W256" s="61" t="e">
        <f t="shared" ca="1" si="71"/>
        <v>#VALUE!</v>
      </c>
    </row>
    <row r="257" spans="1:23" x14ac:dyDescent="0.25">
      <c r="A257" s="58" t="str">
        <f t="shared" si="72"/>
        <v/>
      </c>
      <c r="B257" s="55" t="str">
        <f t="shared" si="83"/>
        <v/>
      </c>
      <c r="C257" s="55" t="str">
        <f t="shared" ca="1" si="73"/>
        <v xml:space="preserve"> </v>
      </c>
      <c r="D257" s="58" t="str">
        <f t="shared" si="81"/>
        <v/>
      </c>
      <c r="E257" s="56" t="str">
        <f t="shared" si="82"/>
        <v/>
      </c>
      <c r="F257" s="56" t="str">
        <f>IF(AND(A256="",A258=""),"",IF(A257="",ROUND(SUM($F$25:F256),2),IF(A257=$D$8,$E$24-ROUND(SUM($F$25:F256),2),ROUND($E$24/$D$8,2))))</f>
        <v/>
      </c>
      <c r="G257" s="56" t="str">
        <f>IF(A256=$D$8,ROUND(SUM($G$25:G256),2),IF(A257&gt;$D$8,"",IF(T257&lt;&gt;T256,ROUND(SUM(V257*$D$9*E256/T257,W257*$D$9*E256/T256),2),ROUND(E256*$D$9*D257/T256,2))))</f>
        <v/>
      </c>
      <c r="H257" s="56" t="str">
        <f>IF(A256=$D$8,SUM($H$25:H256),IF(A256&gt;$D$8,"",F257+G257))</f>
        <v/>
      </c>
      <c r="I257" s="56" t="str">
        <f t="shared" si="84"/>
        <v/>
      </c>
      <c r="J257" s="56" t="str">
        <f t="shared" si="90"/>
        <v/>
      </c>
      <c r="K257" s="56" t="str">
        <f t="shared" si="91"/>
        <v/>
      </c>
      <c r="L257" s="56" t="str">
        <f t="shared" si="86"/>
        <v/>
      </c>
      <c r="M257" s="56" t="str">
        <f t="shared" si="79"/>
        <v/>
      </c>
      <c r="N257" s="56" t="str">
        <f t="shared" si="80"/>
        <v/>
      </c>
      <c r="P257" s="59" t="str">
        <f>IF(A256=$D$8,XIRR(H$24:H256,C$24:C256),"")</f>
        <v/>
      </c>
      <c r="Q257" s="56" t="str">
        <f t="shared" si="78"/>
        <v/>
      </c>
      <c r="R257" s="56">
        <f t="shared" si="75"/>
        <v>0</v>
      </c>
      <c r="S257" s="21" t="e">
        <f t="shared" ca="1" si="76"/>
        <v>#VALUE!</v>
      </c>
      <c r="T257" s="21" t="e">
        <f t="shared" ca="1" si="77"/>
        <v>#VALUE!</v>
      </c>
      <c r="U257" s="21" t="e">
        <f t="shared" ca="1" si="87"/>
        <v>#VALUE!</v>
      </c>
      <c r="V257" s="60" t="e">
        <f t="shared" ca="1" si="88"/>
        <v>#VALUE!</v>
      </c>
      <c r="W257" s="61" t="e">
        <f t="shared" ca="1" si="71"/>
        <v>#VALUE!</v>
      </c>
    </row>
    <row r="258" spans="1:23" x14ac:dyDescent="0.25">
      <c r="A258" s="58" t="str">
        <f t="shared" si="72"/>
        <v/>
      </c>
      <c r="B258" s="55" t="str">
        <f t="shared" si="83"/>
        <v/>
      </c>
      <c r="C258" s="55" t="str">
        <f t="shared" ca="1" si="73"/>
        <v xml:space="preserve"> </v>
      </c>
      <c r="D258" s="58" t="str">
        <f t="shared" si="81"/>
        <v/>
      </c>
      <c r="E258" s="56" t="str">
        <f t="shared" si="82"/>
        <v/>
      </c>
      <c r="F258" s="56" t="str">
        <f>IF(AND(A257="",A259=""),"",IF(A258="",ROUND(SUM($F$25:F257),2),IF(A258=$D$8,$E$24-ROUND(SUM($F$25:F257),2),ROUND($E$24/$D$8,2))))</f>
        <v/>
      </c>
      <c r="G258" s="56" t="str">
        <f>IF(A257=$D$8,ROUND(SUM($G$25:G257),2),IF(A258&gt;$D$8,"",IF(T258&lt;&gt;T257,ROUND(SUM(V258*$D$9*E257/T258,W258*$D$9*E257/T257),2),ROUND(E257*$D$9*D258/T257,2))))</f>
        <v/>
      </c>
      <c r="H258" s="56" t="str">
        <f>IF(A257=$D$8,SUM($H$25:H257),IF(A257&gt;$D$8,"",F258+G258))</f>
        <v/>
      </c>
      <c r="I258" s="56" t="str">
        <f t="shared" si="84"/>
        <v/>
      </c>
      <c r="J258" s="56" t="str">
        <f t="shared" si="90"/>
        <v/>
      </c>
      <c r="K258" s="56" t="str">
        <f t="shared" si="91"/>
        <v/>
      </c>
      <c r="L258" s="56" t="str">
        <f t="shared" si="86"/>
        <v/>
      </c>
      <c r="M258" s="56" t="str">
        <f t="shared" si="79"/>
        <v/>
      </c>
      <c r="N258" s="56" t="str">
        <f t="shared" si="80"/>
        <v/>
      </c>
      <c r="P258" s="59" t="str">
        <f>IF(A257=$D$8,XIRR(H$24:H257,C$24:C257),"")</f>
        <v/>
      </c>
      <c r="Q258" s="56" t="str">
        <f t="shared" si="78"/>
        <v/>
      </c>
      <c r="R258" s="56">
        <f t="shared" si="75"/>
        <v>0</v>
      </c>
      <c r="S258" s="21" t="e">
        <f t="shared" ca="1" si="76"/>
        <v>#VALUE!</v>
      </c>
      <c r="T258" s="21" t="e">
        <f t="shared" ca="1" si="77"/>
        <v>#VALUE!</v>
      </c>
      <c r="U258" s="21" t="e">
        <f t="shared" ca="1" si="87"/>
        <v>#VALUE!</v>
      </c>
      <c r="V258" s="60" t="e">
        <f t="shared" ca="1" si="88"/>
        <v>#VALUE!</v>
      </c>
      <c r="W258" s="61" t="e">
        <f t="shared" ca="1" si="71"/>
        <v>#VALUE!</v>
      </c>
    </row>
    <row r="259" spans="1:23" x14ac:dyDescent="0.25">
      <c r="A259" s="58" t="str">
        <f t="shared" si="72"/>
        <v/>
      </c>
      <c r="B259" s="55" t="str">
        <f t="shared" si="83"/>
        <v/>
      </c>
      <c r="C259" s="55" t="str">
        <f t="shared" ca="1" si="73"/>
        <v xml:space="preserve"> </v>
      </c>
      <c r="D259" s="58" t="str">
        <f t="shared" si="81"/>
        <v/>
      </c>
      <c r="E259" s="56" t="str">
        <f t="shared" si="82"/>
        <v/>
      </c>
      <c r="F259" s="56" t="str">
        <f>IF(AND(A258="",A260=""),"",IF(A259="",ROUND(SUM($F$25:F258),2),IF(A259=$D$8,$E$24-ROUND(SUM($F$25:F258),2),ROUND($E$24/$D$8,2))))</f>
        <v/>
      </c>
      <c r="G259" s="56" t="str">
        <f>IF(A258=$D$8,ROUND(SUM($G$25:G258),2),IF(A259&gt;$D$8,"",IF(T259&lt;&gt;T258,ROUND(SUM(V259*$D$9*E258/T259,W259*$D$9*E258/T258),2),ROUND(E258*$D$9*D259/T258,2))))</f>
        <v/>
      </c>
      <c r="H259" s="56" t="str">
        <f>IF(A258=$D$8,SUM($H$25:H258),IF(A258&gt;$D$8,"",F259+G259))</f>
        <v/>
      </c>
      <c r="I259" s="56" t="str">
        <f t="shared" si="84"/>
        <v/>
      </c>
      <c r="J259" s="56" t="str">
        <f t="shared" si="90"/>
        <v/>
      </c>
      <c r="K259" s="56" t="str">
        <f t="shared" si="91"/>
        <v/>
      </c>
      <c r="L259" s="56" t="str">
        <f t="shared" si="86"/>
        <v/>
      </c>
      <c r="M259" s="56" t="str">
        <f t="shared" si="79"/>
        <v/>
      </c>
      <c r="N259" s="56" t="str">
        <f t="shared" si="80"/>
        <v/>
      </c>
      <c r="P259" s="59" t="str">
        <f>IF(A258=$D$8,XIRR(H$24:H258,C$24:C258),"")</f>
        <v/>
      </c>
      <c r="Q259" s="56" t="str">
        <f t="shared" si="78"/>
        <v/>
      </c>
      <c r="R259" s="56">
        <f t="shared" si="75"/>
        <v>0</v>
      </c>
      <c r="S259" s="21" t="e">
        <f t="shared" ca="1" si="76"/>
        <v>#VALUE!</v>
      </c>
      <c r="T259" s="21" t="e">
        <f t="shared" ca="1" si="77"/>
        <v>#VALUE!</v>
      </c>
      <c r="U259" s="21" t="e">
        <f t="shared" ca="1" si="87"/>
        <v>#VALUE!</v>
      </c>
      <c r="V259" s="60" t="e">
        <f t="shared" ca="1" si="88"/>
        <v>#VALUE!</v>
      </c>
      <c r="W259" s="61" t="e">
        <f t="shared" ca="1" si="71"/>
        <v>#VALUE!</v>
      </c>
    </row>
    <row r="260" spans="1:23" x14ac:dyDescent="0.25">
      <c r="A260" s="58" t="str">
        <f t="shared" si="72"/>
        <v/>
      </c>
      <c r="B260" s="55" t="str">
        <f t="shared" si="83"/>
        <v/>
      </c>
      <c r="C260" s="55" t="str">
        <f t="shared" ca="1" si="73"/>
        <v xml:space="preserve"> </v>
      </c>
      <c r="D260" s="58" t="str">
        <f t="shared" si="81"/>
        <v/>
      </c>
      <c r="E260" s="56" t="str">
        <f t="shared" si="82"/>
        <v/>
      </c>
      <c r="F260" s="56" t="str">
        <f>IF(AND(A259="",A261=""),"",IF(A260="",ROUND(SUM($F$25:F259),2),IF(A260=$D$8,$E$24-ROUND(SUM($F$25:F259),2),ROUND($E$24/$D$8,2))))</f>
        <v/>
      </c>
      <c r="G260" s="56" t="str">
        <f>IF(A259=$D$8,ROUND(SUM($G$25:G259),2),IF(A260&gt;$D$8,"",IF(T260&lt;&gt;T259,ROUND(SUM(V260*$D$9*E259/T260,W260*$D$9*E259/T259),2),ROUND(E259*$D$9*D260/T259,2))))</f>
        <v/>
      </c>
      <c r="H260" s="56" t="str">
        <f>IF(A259=$D$8,SUM($H$25:H259),IF(A259&gt;$D$8,"",F260+G260))</f>
        <v/>
      </c>
      <c r="I260" s="56" t="str">
        <f t="shared" si="84"/>
        <v/>
      </c>
      <c r="J260" s="56" t="str">
        <f t="shared" si="90"/>
        <v/>
      </c>
      <c r="K260" s="56" t="str">
        <f t="shared" si="91"/>
        <v/>
      </c>
      <c r="L260" s="56" t="str">
        <f t="shared" si="86"/>
        <v/>
      </c>
      <c r="M260" s="56" t="str">
        <f t="shared" si="79"/>
        <v/>
      </c>
      <c r="N260" s="56" t="str">
        <f t="shared" si="80"/>
        <v/>
      </c>
      <c r="P260" s="59" t="str">
        <f>IF(A259=$D$8,XIRR(H$24:H259,C$24:C259),"")</f>
        <v/>
      </c>
      <c r="Q260" s="56" t="str">
        <f t="shared" si="78"/>
        <v/>
      </c>
      <c r="R260" s="56">
        <f t="shared" si="75"/>
        <v>0</v>
      </c>
      <c r="S260" s="21" t="e">
        <f t="shared" ca="1" si="76"/>
        <v>#VALUE!</v>
      </c>
      <c r="T260" s="21" t="e">
        <f t="shared" ca="1" si="77"/>
        <v>#VALUE!</v>
      </c>
      <c r="U260" s="21" t="e">
        <f t="shared" ca="1" si="87"/>
        <v>#VALUE!</v>
      </c>
      <c r="V260" s="60" t="e">
        <f t="shared" ca="1" si="88"/>
        <v>#VALUE!</v>
      </c>
      <c r="W260" s="61" t="e">
        <f t="shared" ca="1" si="71"/>
        <v>#VALUE!</v>
      </c>
    </row>
    <row r="261" spans="1:23" x14ac:dyDescent="0.25">
      <c r="A261" s="58" t="str">
        <f t="shared" si="72"/>
        <v/>
      </c>
      <c r="B261" s="55" t="str">
        <f t="shared" si="83"/>
        <v/>
      </c>
      <c r="C261" s="55" t="str">
        <f t="shared" ca="1" si="73"/>
        <v xml:space="preserve"> </v>
      </c>
      <c r="D261" s="58" t="str">
        <f t="shared" si="81"/>
        <v/>
      </c>
      <c r="E261" s="56" t="str">
        <f t="shared" si="82"/>
        <v/>
      </c>
      <c r="F261" s="56" t="str">
        <f>IF(AND(A260="",A262=""),"",IF(A261="",ROUND(SUM($F$25:F260),2),IF(A261=$D$8,$E$24-ROUND(SUM($F$25:F260),2),ROUND($E$24/$D$8,2))))</f>
        <v/>
      </c>
      <c r="G261" s="56" t="str">
        <f>IF(A260=$D$8,ROUND(SUM($G$25:G260),2),IF(A261&gt;$D$8,"",IF(T261&lt;&gt;T260,ROUND(SUM(V261*$D$9*E260/T261,W261*$D$9*E260/T260),2),ROUND(E260*$D$9*D261/T260,2))))</f>
        <v/>
      </c>
      <c r="H261" s="56" t="str">
        <f>IF(A260=$D$8,SUM($H$25:H260),IF(A260&gt;$D$8,"",F261+G261))</f>
        <v/>
      </c>
      <c r="I261" s="56" t="str">
        <f t="shared" si="84"/>
        <v/>
      </c>
      <c r="J261" s="56" t="str">
        <f t="shared" si="90"/>
        <v/>
      </c>
      <c r="K261" s="56" t="str">
        <f t="shared" si="91"/>
        <v/>
      </c>
      <c r="L261" s="56" t="str">
        <f t="shared" si="86"/>
        <v/>
      </c>
      <c r="M261" s="56" t="str">
        <f t="shared" si="79"/>
        <v/>
      </c>
      <c r="N261" s="56" t="str">
        <f t="shared" si="80"/>
        <v/>
      </c>
      <c r="P261" s="59" t="str">
        <f>IF(A260=$D$8,XIRR(H$24:H260,C$24:C260),"")</f>
        <v/>
      </c>
      <c r="Q261" s="56" t="str">
        <f t="shared" si="78"/>
        <v/>
      </c>
      <c r="R261" s="56">
        <f t="shared" si="75"/>
        <v>0</v>
      </c>
      <c r="S261" s="21" t="e">
        <f t="shared" ca="1" si="76"/>
        <v>#VALUE!</v>
      </c>
      <c r="T261" s="21" t="e">
        <f t="shared" ca="1" si="77"/>
        <v>#VALUE!</v>
      </c>
      <c r="U261" s="21" t="e">
        <f t="shared" ca="1" si="87"/>
        <v>#VALUE!</v>
      </c>
      <c r="V261" s="60" t="e">
        <f t="shared" ca="1" si="88"/>
        <v>#VALUE!</v>
      </c>
      <c r="W261" s="61" t="e">
        <f t="shared" ca="1" si="71"/>
        <v>#VALUE!</v>
      </c>
    </row>
    <row r="262" spans="1:23" x14ac:dyDescent="0.25">
      <c r="A262" s="58" t="str">
        <f t="shared" ref="A262:A266" si="92">IF(A261&lt;$D$8,A261+1,"")</f>
        <v/>
      </c>
      <c r="B262" s="55" t="str">
        <f t="shared" si="83"/>
        <v/>
      </c>
      <c r="C262" s="55" t="str">
        <f t="shared" ca="1" si="73"/>
        <v xml:space="preserve"> </v>
      </c>
      <c r="D262" s="58" t="str">
        <f t="shared" si="81"/>
        <v/>
      </c>
      <c r="E262" s="56" t="str">
        <f t="shared" si="82"/>
        <v/>
      </c>
      <c r="F262" s="56" t="str">
        <f>IF(AND(A261="",A263=""),"",IF(A262="",ROUND(SUM($F$25:F261),2),IF(A262=$D$8,$E$24-ROUND(SUM($F$25:F261),2),ROUND($E$24/$D$8,2))))</f>
        <v/>
      </c>
      <c r="G262" s="56" t="str">
        <f>IF(A261=$D$8,ROUND(SUM($G$25:G261),2),IF(A262&gt;$D$8,"",IF(T262&lt;&gt;T261,ROUND(SUM(V262*$D$9*E261/T262,W262*$D$9*E261/T261),2),ROUND(E261*$D$9*D262/T261,2))))</f>
        <v/>
      </c>
      <c r="H262" s="56" t="str">
        <f>IF(A261=$D$8,SUM($H$25:H261),IF(A261&gt;$D$8,"",F262+G262))</f>
        <v/>
      </c>
      <c r="I262" s="56" t="str">
        <f t="shared" si="84"/>
        <v/>
      </c>
      <c r="J262" s="56" t="str">
        <f t="shared" si="90"/>
        <v/>
      </c>
      <c r="K262" s="56" t="str">
        <f t="shared" si="91"/>
        <v/>
      </c>
      <c r="L262" s="56" t="str">
        <f t="shared" si="86"/>
        <v/>
      </c>
      <c r="M262" s="56" t="str">
        <f t="shared" si="79"/>
        <v/>
      </c>
      <c r="N262" s="56" t="str">
        <f t="shared" si="80"/>
        <v/>
      </c>
      <c r="P262" s="59" t="str">
        <f>IF(A261=$D$8,XIRR(H$24:H261,C$24:C261),"")</f>
        <v/>
      </c>
      <c r="Q262" s="56" t="str">
        <f t="shared" si="78"/>
        <v/>
      </c>
      <c r="R262" s="56">
        <f t="shared" si="75"/>
        <v>0</v>
      </c>
      <c r="S262" s="21" t="e">
        <f t="shared" ca="1" si="76"/>
        <v>#VALUE!</v>
      </c>
      <c r="T262" s="21" t="e">
        <f t="shared" ca="1" si="77"/>
        <v>#VALUE!</v>
      </c>
      <c r="U262" s="21" t="e">
        <f t="shared" ca="1" si="87"/>
        <v>#VALUE!</v>
      </c>
      <c r="V262" s="60" t="e">
        <f t="shared" ca="1" si="88"/>
        <v>#VALUE!</v>
      </c>
      <c r="W262" s="61" t="e">
        <f t="shared" ca="1" si="71"/>
        <v>#VALUE!</v>
      </c>
    </row>
    <row r="263" spans="1:23" x14ac:dyDescent="0.25">
      <c r="A263" s="58" t="str">
        <f t="shared" si="92"/>
        <v/>
      </c>
      <c r="B263" s="55" t="str">
        <f t="shared" si="83"/>
        <v/>
      </c>
      <c r="C263" s="55" t="str">
        <f t="shared" ca="1" si="73"/>
        <v xml:space="preserve"> </v>
      </c>
      <c r="D263" s="58" t="str">
        <f t="shared" si="81"/>
        <v/>
      </c>
      <c r="E263" s="56" t="str">
        <f t="shared" si="82"/>
        <v/>
      </c>
      <c r="F263" s="56" t="str">
        <f>IF(AND(A262="",A264=""),"",IF(A263="",ROUND(SUM($F$25:F262),2),IF(A263=$D$8,$E$24-ROUND(SUM($F$25:F262),2),ROUND($E$24/$D$8,2))))</f>
        <v/>
      </c>
      <c r="G263" s="56" t="str">
        <f>IF(A262=$D$8,ROUND(SUM($G$25:G262),2),IF(A263&gt;$D$8,"",IF(T263&lt;&gt;T262,ROUND(SUM(V263*$D$9*E262/T263,W263*$D$9*E262/T262),2),ROUND(E262*$D$9*D263/T262,2))))</f>
        <v/>
      </c>
      <c r="H263" s="56" t="str">
        <f>IF(A262=$D$8,SUM($H$25:H262),IF(A262&gt;$D$8,"",F263+G263))</f>
        <v/>
      </c>
      <c r="I263" s="56" t="str">
        <f t="shared" si="84"/>
        <v/>
      </c>
      <c r="J263" s="56" t="str">
        <f t="shared" si="90"/>
        <v/>
      </c>
      <c r="K263" s="56" t="str">
        <f t="shared" si="91"/>
        <v/>
      </c>
      <c r="L263" s="56" t="str">
        <f t="shared" si="86"/>
        <v/>
      </c>
      <c r="M263" s="56" t="str">
        <f t="shared" si="79"/>
        <v/>
      </c>
      <c r="N263" s="56" t="str">
        <f t="shared" si="80"/>
        <v/>
      </c>
      <c r="P263" s="59" t="str">
        <f>IF(A262=$D$8,XIRR(H$24:H262,C$24:C262),"")</f>
        <v/>
      </c>
      <c r="Q263" s="56" t="str">
        <f t="shared" si="78"/>
        <v/>
      </c>
      <c r="R263" s="56">
        <f t="shared" si="75"/>
        <v>0</v>
      </c>
      <c r="S263" s="21" t="e">
        <f t="shared" ca="1" si="76"/>
        <v>#VALUE!</v>
      </c>
      <c r="T263" s="21" t="e">
        <f t="shared" ca="1" si="77"/>
        <v>#VALUE!</v>
      </c>
      <c r="U263" s="21" t="e">
        <f t="shared" ca="1" si="87"/>
        <v>#VALUE!</v>
      </c>
      <c r="V263" s="60" t="e">
        <f t="shared" ca="1" si="88"/>
        <v>#VALUE!</v>
      </c>
      <c r="W263" s="61" t="e">
        <f t="shared" ca="1" si="71"/>
        <v>#VALUE!</v>
      </c>
    </row>
    <row r="264" spans="1:23" x14ac:dyDescent="0.25">
      <c r="A264" s="58" t="str">
        <f t="shared" si="92"/>
        <v/>
      </c>
      <c r="B264" s="55" t="str">
        <f t="shared" si="83"/>
        <v/>
      </c>
      <c r="C264" s="55" t="str">
        <f t="shared" ca="1" si="73"/>
        <v xml:space="preserve"> </v>
      </c>
      <c r="D264" s="58" t="str">
        <f t="shared" si="81"/>
        <v/>
      </c>
      <c r="E264" s="56" t="str">
        <f t="shared" si="82"/>
        <v/>
      </c>
      <c r="F264" s="56" t="str">
        <f>IF(AND(A263="",A265=""),"",IF(A264="",ROUND(SUM($F$25:F263),2),IF(A264=$D$8,$E$24-ROUND(SUM($F$25:F263),2),ROUND($E$24/$D$8,2))))</f>
        <v/>
      </c>
      <c r="G264" s="56" t="str">
        <f>IF(A263=$D$8,ROUND(SUM($G$25:G263),2),IF(A264&gt;$D$8,"",IF(T264&lt;&gt;T263,ROUND(SUM(V264*$D$9*E263/T264,W264*$D$9*E263/T263),2),ROUND(E263*$D$9*D264/T263,2))))</f>
        <v/>
      </c>
      <c r="H264" s="56" t="str">
        <f>IF(A263=$D$8,SUM($H$25:H263),IF(A263&gt;$D$8,"",F264+G264))</f>
        <v/>
      </c>
      <c r="I264" s="56" t="str">
        <f t="shared" si="84"/>
        <v/>
      </c>
      <c r="J264" s="56" t="str">
        <f t="shared" si="90"/>
        <v/>
      </c>
      <c r="K264" s="56" t="str">
        <f t="shared" si="91"/>
        <v/>
      </c>
      <c r="L264" s="56" t="str">
        <f t="shared" si="86"/>
        <v/>
      </c>
      <c r="M264" s="56" t="str">
        <f t="shared" si="79"/>
        <v/>
      </c>
      <c r="N264" s="56" t="str">
        <f t="shared" si="80"/>
        <v/>
      </c>
      <c r="P264" s="59" t="str">
        <f>IF(A263=$D$8,XIRR(H$24:H263,C$24:C263),"")</f>
        <v/>
      </c>
      <c r="Q264" s="56" t="str">
        <f t="shared" si="78"/>
        <v/>
      </c>
      <c r="R264" s="56">
        <f t="shared" si="75"/>
        <v>0</v>
      </c>
      <c r="S264" s="21" t="e">
        <f t="shared" ca="1" si="76"/>
        <v>#VALUE!</v>
      </c>
      <c r="T264" s="21" t="e">
        <f t="shared" ca="1" si="77"/>
        <v>#VALUE!</v>
      </c>
      <c r="U264" s="21" t="e">
        <f t="shared" ca="1" si="87"/>
        <v>#VALUE!</v>
      </c>
      <c r="V264" s="60" t="e">
        <f t="shared" ca="1" si="88"/>
        <v>#VALUE!</v>
      </c>
      <c r="W264" s="61" t="e">
        <f t="shared" ca="1" si="71"/>
        <v>#VALUE!</v>
      </c>
    </row>
    <row r="265" spans="1:23" x14ac:dyDescent="0.25">
      <c r="A265" s="58" t="str">
        <f t="shared" si="92"/>
        <v/>
      </c>
      <c r="E265" s="56" t="str">
        <f t="shared" si="82"/>
        <v/>
      </c>
      <c r="F265" s="56" t="str">
        <f>IF(AND(A264="",A266=""),"",IF(A265="",ROUND(SUM($F$25:F264),2),IF(A265=$D$8,$E$24-ROUND(SUM($F$25:F264),2),ROUND($E$24/$D$8,2))))</f>
        <v/>
      </c>
      <c r="G265" s="56" t="str">
        <f>IF(A264=$D$8,ROUND(SUM($G$25:G264),2),IF(A265&gt;$D$8,"",IF(T265&lt;&gt;T264,ROUND(SUM(V265*$D$9*E264/T265,W265*$D$9*E264/T264),2),ROUND(E264*$D$9*D265/T264,2))))</f>
        <v/>
      </c>
      <c r="H265" s="56" t="str">
        <f>IF(A264=$D$8,SUM($H$25:H264),IF(A264&gt;$D$8,"",F265+G265))</f>
        <v/>
      </c>
      <c r="I265" s="56" t="str">
        <f t="shared" si="84"/>
        <v/>
      </c>
      <c r="J265" s="56" t="str">
        <f>IF($D$8&gt;A264,$N$9,IF($D$8=A264,SUM($J$24:J264)," "))</f>
        <v xml:space="preserve"> </v>
      </c>
      <c r="K265" s="56" t="str">
        <f>IF($D$8&gt;A264,($O$8+$N$10*E264),IF(A264=$D$8,$K$37+$K$24+$K$49+$K$61+$K$73+$K$85+$K$97+$K$109+$K$121+$K$133+$K$145+$K$157+$K$169+$K$181+$K$193+$K$205+$K$217+$K$229+$K$241+K253,""))</f>
        <v/>
      </c>
      <c r="L265" s="56" t="str">
        <f t="shared" si="86"/>
        <v/>
      </c>
      <c r="M265" s="56" t="str">
        <f t="shared" si="79"/>
        <v/>
      </c>
      <c r="N265" s="56" t="str">
        <f t="shared" si="80"/>
        <v/>
      </c>
      <c r="P265" s="59" t="str">
        <f>IF(A264=$D$8,XIRR(R$24:R264,C$24:C264),"")</f>
        <v/>
      </c>
      <c r="Q265" s="56" t="str">
        <f t="shared" si="78"/>
        <v/>
      </c>
      <c r="R265" s="56"/>
      <c r="S265" s="21" t="str">
        <f t="shared" si="76"/>
        <v/>
      </c>
    </row>
    <row r="266" spans="1:23" x14ac:dyDescent="0.25">
      <c r="A266" s="58" t="str">
        <f t="shared" si="92"/>
        <v/>
      </c>
    </row>
    <row r="267" spans="1:23" x14ac:dyDescent="0.25">
      <c r="A267" s="58"/>
    </row>
    <row r="268" spans="1:23" x14ac:dyDescent="0.25">
      <c r="A268" s="58"/>
    </row>
    <row r="269" spans="1:23" x14ac:dyDescent="0.25">
      <c r="A269" s="58"/>
    </row>
    <row r="270" spans="1:23" x14ac:dyDescent="0.25">
      <c r="A270" s="58"/>
    </row>
    <row r="271" spans="1:23" x14ac:dyDescent="0.25">
      <c r="A271" s="58"/>
    </row>
    <row r="272" spans="1:23" x14ac:dyDescent="0.25">
      <c r="A272" s="58"/>
    </row>
    <row r="273" spans="1:1" x14ac:dyDescent="0.25">
      <c r="A273" s="58"/>
    </row>
    <row r="274" spans="1:1" x14ac:dyDescent="0.25">
      <c r="A274" s="58"/>
    </row>
    <row r="275" spans="1:1" x14ac:dyDescent="0.25">
      <c r="A275" s="58"/>
    </row>
    <row r="276" spans="1:1" x14ac:dyDescent="0.25">
      <c r="A276" s="58"/>
    </row>
  </sheetData>
  <protectedRanges>
    <protectedRange password="C797" sqref="A24:B261 B262:B264 A262:A276 D24:H25 D26:D264 E26:H265" name="Диапазон1"/>
    <protectedRange password="C797" sqref="M22:M23 P22:Q23 A22:H23" name="Диапазон1_1"/>
    <protectedRange password="C797" sqref="M24:O24 M25:N265 O25:O120" name="Диапазон1_2"/>
    <protectedRange password="C797" sqref="R24" name="Диапазон1_1_1"/>
    <protectedRange password="C797" sqref="R25:R265" name="Диапазон1_2_1"/>
    <protectedRange password="C797" sqref="C24:C84" name="Диапазон1_3"/>
    <protectedRange password="C797" sqref="C85:C264" name="Диапазон1_4"/>
  </protectedRanges>
  <mergeCells count="43">
    <mergeCell ref="R22:R23"/>
    <mergeCell ref="I22:L22"/>
    <mergeCell ref="N22:N23"/>
    <mergeCell ref="H3:M3"/>
    <mergeCell ref="N3:O3"/>
    <mergeCell ref="H4:M4"/>
    <mergeCell ref="N4:O4"/>
    <mergeCell ref="N5:O5"/>
    <mergeCell ref="I6:O6"/>
    <mergeCell ref="I7:M7"/>
    <mergeCell ref="N7:O7"/>
    <mergeCell ref="I8:M8"/>
    <mergeCell ref="N9:O9"/>
    <mergeCell ref="N12:O12"/>
    <mergeCell ref="N13:O13"/>
    <mergeCell ref="N14:O14"/>
    <mergeCell ref="A22:A23"/>
    <mergeCell ref="P22:P23"/>
    <mergeCell ref="N11:O11"/>
    <mergeCell ref="H6:H11"/>
    <mergeCell ref="A1:Q1"/>
    <mergeCell ref="F22:F23"/>
    <mergeCell ref="O22:O23"/>
    <mergeCell ref="B4:C5"/>
    <mergeCell ref="D4:F5"/>
    <mergeCell ref="B6:C7"/>
    <mergeCell ref="D6:F7"/>
    <mergeCell ref="D11:F11"/>
    <mergeCell ref="B8:C8"/>
    <mergeCell ref="B9:C9"/>
    <mergeCell ref="D3:F3"/>
    <mergeCell ref="D8:F8"/>
    <mergeCell ref="D9:F9"/>
    <mergeCell ref="B3:C3"/>
    <mergeCell ref="Q22:Q23"/>
    <mergeCell ref="M22:M23"/>
    <mergeCell ref="H22:H23"/>
    <mergeCell ref="G22:G23"/>
    <mergeCell ref="B10:C10"/>
    <mergeCell ref="D10:F10"/>
    <mergeCell ref="I10:M10"/>
    <mergeCell ref="E22:E23"/>
    <mergeCell ref="C22:C23"/>
  </mergeCells>
  <dataValidations disablePrompts="1" count="2">
    <dataValidation type="list" allowBlank="1" showInputMessage="1" showErrorMessage="1" sqref="Q8:R8" xr:uid="{00000000-0002-0000-0100-000000000000}">
      <formula1>$T$8:$T$9</formula1>
    </dataValidation>
    <dataValidation type="list" allowBlank="1" showInputMessage="1" showErrorMessage="1" sqref="M12 M9" xr:uid="{00000000-0002-0000-0100-000001000000}">
      <formula1>$Z$7:$Z$8</formula1>
    </dataValidation>
  </dataValidations>
  <pageMargins left="0.23622047244094491" right="0.23622047244094491" top="0.74803149606299213" bottom="0.74803149606299213" header="0.31496062992125984" footer="0.31496062992125984"/>
  <pageSetup paperSize="9" scale="48" fitToHeight="0" orientation="portrait" r:id="rId1"/>
  <ignoredErrors>
    <ignoredError sqref="P9 O8 P7" unlockedFormula="1"/>
  </ignoredErrors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86"/>
  <sheetViews>
    <sheetView tabSelected="1" topLeftCell="A2" zoomScale="70" zoomScaleNormal="70" workbookViewId="0">
      <selection activeCell="C9" sqref="C9"/>
    </sheetView>
  </sheetViews>
  <sheetFormatPr defaultRowHeight="15" x14ac:dyDescent="0.25"/>
  <cols>
    <col min="1" max="1" width="11" customWidth="1"/>
    <col min="2" max="2" width="21" customWidth="1"/>
    <col min="3" max="3" width="15.42578125" customWidth="1"/>
    <col min="4" max="4" width="14.85546875" customWidth="1"/>
    <col min="5" max="5" width="13.5703125" customWidth="1"/>
    <col min="6" max="6" width="14.140625" customWidth="1"/>
    <col min="7" max="7" width="16.28515625" customWidth="1"/>
    <col min="8" max="8" width="15" customWidth="1"/>
    <col min="9" max="9" width="10.85546875" customWidth="1"/>
    <col min="10" max="10" width="8.5703125" customWidth="1"/>
    <col min="11" max="11" width="10.5703125" customWidth="1"/>
    <col min="12" max="12" width="12.42578125" customWidth="1"/>
    <col min="13" max="13" width="9.28515625" customWidth="1"/>
    <col min="14" max="14" width="9.85546875" customWidth="1"/>
    <col min="15" max="15" width="10.7109375" customWidth="1"/>
    <col min="16" max="16" width="10" customWidth="1"/>
    <col min="17" max="17" width="9.5703125" customWidth="1"/>
    <col min="18" max="18" width="14" customWidth="1"/>
  </cols>
  <sheetData>
    <row r="1" spans="1:18" ht="27" hidden="1" customHeight="1" x14ac:dyDescent="0.25">
      <c r="D1" s="88" t="s">
        <v>146</v>
      </c>
    </row>
    <row r="2" spans="1:18" ht="27" customHeight="1" x14ac:dyDescent="0.25">
      <c r="D2" s="88"/>
    </row>
    <row r="3" spans="1:18" ht="15.75" x14ac:dyDescent="0.25">
      <c r="A3" s="208" t="s">
        <v>156</v>
      </c>
      <c r="B3" s="209"/>
      <c r="C3" s="209"/>
      <c r="D3" s="209"/>
      <c r="E3" s="209"/>
      <c r="F3" s="209"/>
      <c r="G3" s="209"/>
      <c r="H3" s="210"/>
    </row>
    <row r="4" spans="1:18" ht="15.75" x14ac:dyDescent="0.25">
      <c r="A4" s="93"/>
      <c r="B4" s="94"/>
      <c r="C4" s="93"/>
      <c r="D4" s="93"/>
      <c r="E4" s="95"/>
      <c r="F4" s="93"/>
      <c r="G4" s="93"/>
    </row>
    <row r="5" spans="1:18" ht="16.5" thickBot="1" x14ac:dyDescent="0.3">
      <c r="A5" s="93"/>
      <c r="B5" s="94"/>
      <c r="C5" s="93"/>
      <c r="D5" s="93"/>
      <c r="E5" s="95"/>
      <c r="F5" s="93"/>
      <c r="G5" s="93"/>
    </row>
    <row r="6" spans="1:18" x14ac:dyDescent="0.25">
      <c r="A6" s="217" t="s">
        <v>105</v>
      </c>
      <c r="B6" s="218"/>
      <c r="C6" s="121">
        <f ca="1">TODAY()</f>
        <v>45639</v>
      </c>
      <c r="E6" s="212"/>
      <c r="F6" s="212"/>
      <c r="G6" s="212"/>
      <c r="H6" s="114"/>
    </row>
    <row r="7" spans="1:18" ht="18" customHeight="1" x14ac:dyDescent="0.25">
      <c r="A7" s="219" t="s">
        <v>40</v>
      </c>
      <c r="B7" s="220"/>
      <c r="C7" s="122">
        <v>500000</v>
      </c>
      <c r="D7" s="91" t="str">
        <f>IF(C7&lt;5000,"Мін. сума кредиту - 5 тис грн",IF(C7&gt;500000,"Максимальна сума кредиту 500000 грн"," "))</f>
        <v xml:space="preserve"> </v>
      </c>
      <c r="E7" s="212"/>
      <c r="F7" s="212"/>
      <c r="G7" s="212"/>
      <c r="H7" s="114"/>
    </row>
    <row r="8" spans="1:18" x14ac:dyDescent="0.25">
      <c r="A8" s="223" t="s">
        <v>160</v>
      </c>
      <c r="B8" s="224"/>
      <c r="C8" s="123">
        <v>60</v>
      </c>
      <c r="D8" s="89"/>
      <c r="E8" s="212"/>
      <c r="F8" s="212"/>
      <c r="G8" s="212"/>
      <c r="H8" s="115"/>
    </row>
    <row r="9" spans="1:18" x14ac:dyDescent="0.25">
      <c r="A9" s="219" t="s">
        <v>164</v>
      </c>
      <c r="B9" s="220"/>
      <c r="C9" s="119">
        <v>0.29949999999999999</v>
      </c>
      <c r="E9" s="213"/>
      <c r="F9" s="213"/>
      <c r="G9" s="213"/>
      <c r="H9" s="116"/>
    </row>
    <row r="10" spans="1:18" ht="26.1" customHeight="1" x14ac:dyDescent="0.25">
      <c r="A10" s="221" t="s">
        <v>153</v>
      </c>
      <c r="B10" s="222"/>
      <c r="C10" s="119">
        <v>0</v>
      </c>
      <c r="E10" s="213"/>
      <c r="F10" s="213"/>
      <c r="G10" s="213"/>
      <c r="H10" s="116"/>
    </row>
    <row r="11" spans="1:18" ht="15.75" thickBot="1" x14ac:dyDescent="0.3">
      <c r="A11" s="215" t="s">
        <v>154</v>
      </c>
      <c r="B11" s="216"/>
      <c r="C11" s="124">
        <v>2.9499999999999998E-2</v>
      </c>
      <c r="E11" s="213"/>
      <c r="F11" s="213"/>
      <c r="G11" s="213"/>
      <c r="H11" s="117"/>
    </row>
    <row r="12" spans="1:18" ht="15.75" x14ac:dyDescent="0.25">
      <c r="A12" s="107"/>
      <c r="B12" s="107"/>
      <c r="C12" s="108"/>
      <c r="E12" s="109"/>
      <c r="F12" s="109"/>
      <c r="G12" s="109"/>
      <c r="H12" s="110"/>
    </row>
    <row r="13" spans="1:18" ht="31.5" customHeight="1" x14ac:dyDescent="0.25">
      <c r="A13" s="211" t="s">
        <v>163</v>
      </c>
      <c r="B13" s="211"/>
      <c r="C13" s="211"/>
      <c r="D13" s="211"/>
      <c r="E13" s="211"/>
      <c r="F13" s="211"/>
      <c r="G13" s="211"/>
      <c r="H13" s="211"/>
      <c r="I13" s="211"/>
      <c r="J13" s="211"/>
      <c r="K13" s="211"/>
      <c r="L13" s="211"/>
      <c r="M13" s="211"/>
      <c r="N13" s="211"/>
      <c r="O13" s="211"/>
      <c r="P13" s="211"/>
      <c r="Q13" s="211"/>
      <c r="R13" s="211"/>
    </row>
    <row r="14" spans="1:18" x14ac:dyDescent="0.25">
      <c r="A14" s="214" t="s">
        <v>123</v>
      </c>
      <c r="B14" s="214" t="s">
        <v>124</v>
      </c>
      <c r="C14" s="214" t="s">
        <v>125</v>
      </c>
      <c r="D14" s="214" t="s">
        <v>126</v>
      </c>
      <c r="E14" s="214" t="s">
        <v>166</v>
      </c>
      <c r="F14" s="214"/>
      <c r="G14" s="214"/>
      <c r="H14" s="214"/>
      <c r="I14" s="214"/>
      <c r="J14" s="214"/>
      <c r="K14" s="214"/>
      <c r="L14" s="214"/>
      <c r="M14" s="214"/>
      <c r="N14" s="214"/>
      <c r="O14" s="214"/>
      <c r="P14" s="214"/>
      <c r="Q14" s="214" t="s">
        <v>61</v>
      </c>
      <c r="R14" s="214" t="s">
        <v>54</v>
      </c>
    </row>
    <row r="15" spans="1:18" ht="15.75" customHeight="1" x14ac:dyDescent="0.25">
      <c r="A15" s="214"/>
      <c r="B15" s="214"/>
      <c r="C15" s="214"/>
      <c r="D15" s="214"/>
      <c r="E15" s="214" t="s">
        <v>128</v>
      </c>
      <c r="F15" s="214" t="s">
        <v>129</v>
      </c>
      <c r="G15" s="214" t="s">
        <v>130</v>
      </c>
      <c r="H15" s="214"/>
      <c r="I15" s="214"/>
      <c r="J15" s="214"/>
      <c r="K15" s="214"/>
      <c r="L15" s="214"/>
      <c r="M15" s="214"/>
      <c r="N15" s="214"/>
      <c r="O15" s="214"/>
      <c r="P15" s="214"/>
      <c r="Q15" s="214"/>
      <c r="R15" s="214"/>
    </row>
    <row r="16" spans="1:18" ht="23.25" customHeight="1" x14ac:dyDescent="0.25">
      <c r="A16" s="214"/>
      <c r="B16" s="214"/>
      <c r="C16" s="214"/>
      <c r="D16" s="214"/>
      <c r="E16" s="214"/>
      <c r="F16" s="214"/>
      <c r="G16" s="214" t="s">
        <v>131</v>
      </c>
      <c r="H16" s="214"/>
      <c r="I16" s="214"/>
      <c r="J16" s="214"/>
      <c r="K16" s="214" t="s">
        <v>141</v>
      </c>
      <c r="L16" s="214"/>
      <c r="M16" s="214" t="s">
        <v>132</v>
      </c>
      <c r="N16" s="214"/>
      <c r="O16" s="214"/>
      <c r="P16" s="214"/>
      <c r="Q16" s="214"/>
      <c r="R16" s="214"/>
    </row>
    <row r="17" spans="1:19" ht="60" x14ac:dyDescent="0.25">
      <c r="A17" s="214"/>
      <c r="B17" s="214"/>
      <c r="C17" s="214"/>
      <c r="D17" s="214"/>
      <c r="E17" s="214"/>
      <c r="F17" s="214"/>
      <c r="G17" s="92" t="s">
        <v>133</v>
      </c>
      <c r="H17" s="92" t="s">
        <v>134</v>
      </c>
      <c r="I17" s="92" t="s">
        <v>135</v>
      </c>
      <c r="J17" s="92" t="s">
        <v>143</v>
      </c>
      <c r="K17" s="92" t="s">
        <v>136</v>
      </c>
      <c r="L17" s="92" t="s">
        <v>140</v>
      </c>
      <c r="M17" s="92" t="s">
        <v>137</v>
      </c>
      <c r="N17" s="92" t="s">
        <v>138</v>
      </c>
      <c r="O17" s="92" t="s">
        <v>139</v>
      </c>
      <c r="P17" s="92" t="s">
        <v>142</v>
      </c>
      <c r="Q17" s="214"/>
      <c r="R17" s="214"/>
    </row>
    <row r="18" spans="1:19" x14ac:dyDescent="0.25">
      <c r="A18" s="92">
        <v>1</v>
      </c>
      <c r="B18" s="92">
        <v>2</v>
      </c>
      <c r="C18" s="92">
        <v>3</v>
      </c>
      <c r="D18" s="92">
        <v>4</v>
      </c>
      <c r="E18" s="92">
        <v>5</v>
      </c>
      <c r="F18" s="92">
        <v>6</v>
      </c>
      <c r="G18" s="92">
        <v>7</v>
      </c>
      <c r="H18" s="92">
        <v>8</v>
      </c>
      <c r="I18" s="92">
        <v>9</v>
      </c>
      <c r="J18" s="92">
        <v>10</v>
      </c>
      <c r="K18" s="92">
        <v>11</v>
      </c>
      <c r="L18" s="92">
        <v>12</v>
      </c>
      <c r="M18" s="92">
        <v>13</v>
      </c>
      <c r="N18" s="92">
        <v>14</v>
      </c>
      <c r="O18" s="92">
        <v>15</v>
      </c>
      <c r="P18" s="92">
        <v>16</v>
      </c>
      <c r="Q18" s="92">
        <v>17</v>
      </c>
      <c r="R18" s="92">
        <v>18</v>
      </c>
    </row>
    <row r="19" spans="1:19" x14ac:dyDescent="0.25">
      <c r="A19" s="96">
        <f>' '!A24</f>
        <v>0</v>
      </c>
      <c r="B19" s="92"/>
      <c r="C19" s="92"/>
      <c r="D19" s="97">
        <f>' '!H24</f>
        <v>-485250</v>
      </c>
      <c r="E19" s="92"/>
      <c r="F19" s="92"/>
      <c r="G19" s="92"/>
      <c r="H19" s="92"/>
      <c r="I19" s="97">
        <f>' '!M24</f>
        <v>14750</v>
      </c>
      <c r="J19" s="92"/>
      <c r="K19" s="92"/>
      <c r="L19" s="92"/>
      <c r="M19" s="98">
        <f>' '!I24</f>
        <v>0</v>
      </c>
      <c r="N19" s="98">
        <f>' '!J24</f>
        <v>0</v>
      </c>
      <c r="O19" s="98">
        <f>' '!K24</f>
        <v>0</v>
      </c>
      <c r="P19" s="92"/>
      <c r="Q19" s="99" t="str">
        <f>' '!P24</f>
        <v xml:space="preserve"> </v>
      </c>
      <c r="R19" s="97" t="str">
        <f>' '!Q24</f>
        <v xml:space="preserve"> </v>
      </c>
    </row>
    <row r="20" spans="1:19" x14ac:dyDescent="0.25">
      <c r="A20" s="100">
        <f>' '!A25</f>
        <v>1</v>
      </c>
      <c r="B20" s="101">
        <f ca="1">' '!C25</f>
        <v>45667</v>
      </c>
      <c r="C20" s="100">
        <f ca="1">' '!D25</f>
        <v>28</v>
      </c>
      <c r="D20" s="102">
        <f>' '!H25</f>
        <v>16161.34539537134</v>
      </c>
      <c r="E20" s="102">
        <f>' '!F25</f>
        <v>3682.1787287046741</v>
      </c>
      <c r="F20" s="97">
        <f>' '!G25</f>
        <v>12479.166666666666</v>
      </c>
      <c r="G20" s="102">
        <f>' '!O25</f>
        <v>0</v>
      </c>
      <c r="H20" s="103"/>
      <c r="I20" s="104" t="str">
        <f>' '!M25</f>
        <v xml:space="preserve"> </v>
      </c>
      <c r="J20" s="103"/>
      <c r="K20" s="103"/>
      <c r="L20" s="103"/>
      <c r="M20" s="98" t="str">
        <f>' '!I25</f>
        <v xml:space="preserve"> </v>
      </c>
      <c r="N20" s="98" t="str">
        <f>' '!J25</f>
        <v xml:space="preserve"> </v>
      </c>
      <c r="O20" s="97" t="str">
        <f>' '!K25</f>
        <v xml:space="preserve"> </v>
      </c>
      <c r="P20" s="103"/>
      <c r="Q20" s="99" t="str">
        <f>' '!P25</f>
        <v/>
      </c>
      <c r="R20" s="97" t="str">
        <f>' '!Q25</f>
        <v xml:space="preserve"> </v>
      </c>
    </row>
    <row r="21" spans="1:19" x14ac:dyDescent="0.25">
      <c r="A21" s="100">
        <f>' '!A26</f>
        <v>2</v>
      </c>
      <c r="B21" s="101">
        <f ca="1">' '!C26</f>
        <v>45698</v>
      </c>
      <c r="C21" s="100">
        <f ca="1">' '!D26</f>
        <v>31</v>
      </c>
      <c r="D21" s="102">
        <f>' '!H26</f>
        <v>16161.345395371342</v>
      </c>
      <c r="E21" s="102">
        <f>' '!F26</f>
        <v>3774.0797728085945</v>
      </c>
      <c r="F21" s="97">
        <f>' '!G26</f>
        <v>12387.265622562747</v>
      </c>
      <c r="G21" s="102">
        <f>' '!O26</f>
        <v>0</v>
      </c>
      <c r="H21" s="103"/>
      <c r="I21" s="104" t="str">
        <f>' '!M26</f>
        <v xml:space="preserve"> </v>
      </c>
      <c r="J21" s="103"/>
      <c r="K21" s="103"/>
      <c r="L21" s="103"/>
      <c r="M21" s="98" t="str">
        <f>' '!I26</f>
        <v xml:space="preserve"> </v>
      </c>
      <c r="N21" s="98">
        <f>' '!J26</f>
        <v>0</v>
      </c>
      <c r="O21" s="97" t="str">
        <f>' '!K26</f>
        <v xml:space="preserve"> </v>
      </c>
      <c r="P21" s="103"/>
      <c r="Q21" s="99" t="str">
        <f>' '!P26</f>
        <v/>
      </c>
      <c r="R21" s="97" t="str">
        <f>' '!Q26</f>
        <v xml:space="preserve"> </v>
      </c>
    </row>
    <row r="22" spans="1:19" x14ac:dyDescent="0.25">
      <c r="A22" s="100">
        <f>' '!A27</f>
        <v>3</v>
      </c>
      <c r="B22" s="101">
        <f ca="1">' '!C27</f>
        <v>45726</v>
      </c>
      <c r="C22" s="100">
        <f ca="1">' '!D27</f>
        <v>28</v>
      </c>
      <c r="D22" s="102">
        <f>' '!H27</f>
        <v>16161.34539537134</v>
      </c>
      <c r="E22" s="102">
        <f>' '!F27</f>
        <v>3868.2745138049431</v>
      </c>
      <c r="F22" s="97">
        <f>' '!G27</f>
        <v>12293.070881566397</v>
      </c>
      <c r="G22" s="102">
        <f>' '!O27</f>
        <v>0</v>
      </c>
      <c r="H22" s="103"/>
      <c r="I22" s="104" t="str">
        <f>' '!M27</f>
        <v xml:space="preserve"> </v>
      </c>
      <c r="J22" s="103"/>
      <c r="K22" s="103"/>
      <c r="L22" s="103"/>
      <c r="M22" s="98" t="str">
        <f>' '!I27</f>
        <v xml:space="preserve"> </v>
      </c>
      <c r="N22" s="98">
        <f>' '!J27</f>
        <v>0</v>
      </c>
      <c r="O22" s="97" t="str">
        <f>' '!K27</f>
        <v xml:space="preserve"> </v>
      </c>
      <c r="P22" s="103"/>
      <c r="Q22" s="99" t="str">
        <f>' '!P27</f>
        <v/>
      </c>
      <c r="R22" s="97" t="str">
        <f>' '!Q27</f>
        <v/>
      </c>
    </row>
    <row r="23" spans="1:19" x14ac:dyDescent="0.25">
      <c r="A23" s="100">
        <f>' '!A28</f>
        <v>4</v>
      </c>
      <c r="B23" s="101">
        <f ca="1">' '!C28</f>
        <v>45757</v>
      </c>
      <c r="C23" s="100">
        <f ca="1">' '!D28</f>
        <v>31</v>
      </c>
      <c r="D23" s="102">
        <f>' '!H28</f>
        <v>16161.345395371342</v>
      </c>
      <c r="E23" s="102">
        <f>' '!F28</f>
        <v>3964.8201985453247</v>
      </c>
      <c r="F23" s="97">
        <f>' '!G28</f>
        <v>12196.525196826016</v>
      </c>
      <c r="G23" s="102">
        <f>' '!O28</f>
        <v>0</v>
      </c>
      <c r="H23" s="103"/>
      <c r="I23" s="104" t="str">
        <f>' '!M28</f>
        <v xml:space="preserve"> </v>
      </c>
      <c r="J23" s="103"/>
      <c r="K23" s="103"/>
      <c r="L23" s="103"/>
      <c r="M23" s="98" t="str">
        <f>' '!I28</f>
        <v xml:space="preserve"> </v>
      </c>
      <c r="N23" s="98">
        <f>' '!J28</f>
        <v>0</v>
      </c>
      <c r="O23" s="97" t="str">
        <f>' '!K28</f>
        <v xml:space="preserve"> </v>
      </c>
      <c r="P23" s="103"/>
      <c r="Q23" s="99" t="str">
        <f>' '!P28</f>
        <v/>
      </c>
      <c r="R23" s="97" t="str">
        <f>' '!Q28</f>
        <v/>
      </c>
    </row>
    <row r="24" spans="1:19" x14ac:dyDescent="0.25">
      <c r="A24" s="100">
        <f>' '!A29</f>
        <v>5</v>
      </c>
      <c r="B24" s="101">
        <f ca="1">' '!C29</f>
        <v>45787</v>
      </c>
      <c r="C24" s="100">
        <f ca="1">' '!D29</f>
        <v>30</v>
      </c>
      <c r="D24" s="102">
        <f>' '!H29</f>
        <v>16161.345395371342</v>
      </c>
      <c r="E24" s="102">
        <f>' '!F29</f>
        <v>4063.7755026673517</v>
      </c>
      <c r="F24" s="97">
        <f>' '!G29</f>
        <v>12097.56989270399</v>
      </c>
      <c r="G24" s="102">
        <f>' '!O29</f>
        <v>0</v>
      </c>
      <c r="H24" s="103"/>
      <c r="I24" s="104" t="str">
        <f>' '!M29</f>
        <v xml:space="preserve"> </v>
      </c>
      <c r="J24" s="103"/>
      <c r="K24" s="103"/>
      <c r="L24" s="103"/>
      <c r="M24" s="97" t="str">
        <f>' '!I29</f>
        <v/>
      </c>
      <c r="N24" s="97" t="str">
        <f>' '!J29</f>
        <v/>
      </c>
      <c r="O24" s="97" t="str">
        <f>' '!K29</f>
        <v xml:space="preserve"> </v>
      </c>
      <c r="P24" s="103"/>
      <c r="Q24" s="99" t="str">
        <f>' '!P29</f>
        <v/>
      </c>
      <c r="R24" s="97" t="str">
        <f>' '!Q29</f>
        <v/>
      </c>
    </row>
    <row r="25" spans="1:19" x14ac:dyDescent="0.25">
      <c r="A25" s="100">
        <f>' '!A30</f>
        <v>6</v>
      </c>
      <c r="B25" s="101">
        <f ca="1">' '!C30</f>
        <v>45818</v>
      </c>
      <c r="C25" s="100">
        <f ca="1">' '!D30</f>
        <v>31</v>
      </c>
      <c r="D25" s="102">
        <f>' '!H30</f>
        <v>16161.34539537134</v>
      </c>
      <c r="E25" s="102">
        <f>' '!F30</f>
        <v>4165.2005662547572</v>
      </c>
      <c r="F25" s="97">
        <f>' '!G30</f>
        <v>11996.144829116582</v>
      </c>
      <c r="G25" s="102">
        <f>' '!O30</f>
        <v>0</v>
      </c>
      <c r="H25" s="103"/>
      <c r="I25" s="104" t="str">
        <f>' '!M30</f>
        <v/>
      </c>
      <c r="J25" s="103"/>
      <c r="K25" s="103"/>
      <c r="L25" s="103"/>
      <c r="M25" s="97" t="str">
        <f>' '!I30</f>
        <v/>
      </c>
      <c r="N25" s="97" t="str">
        <f>' '!J30</f>
        <v/>
      </c>
      <c r="O25" s="97" t="str">
        <f>' '!K30</f>
        <v xml:space="preserve"> </v>
      </c>
      <c r="P25" s="103"/>
      <c r="Q25" s="99" t="str">
        <f>' '!P30</f>
        <v/>
      </c>
      <c r="R25" s="97" t="str">
        <f>' '!Q30</f>
        <v/>
      </c>
    </row>
    <row r="26" spans="1:19" x14ac:dyDescent="0.25">
      <c r="A26" s="100">
        <f>' '!A31</f>
        <v>7</v>
      </c>
      <c r="B26" s="101">
        <f ca="1">' '!C31</f>
        <v>45848</v>
      </c>
      <c r="C26" s="100">
        <f ca="1">' '!D31</f>
        <v>30</v>
      </c>
      <c r="D26" s="102">
        <f>' '!H31</f>
        <v>16161.34539537134</v>
      </c>
      <c r="E26" s="102">
        <f>' '!F31</f>
        <v>4269.1570303875314</v>
      </c>
      <c r="F26" s="97">
        <f>' '!G31</f>
        <v>11892.188364983809</v>
      </c>
      <c r="G26" s="102">
        <f>' '!O31</f>
        <v>0</v>
      </c>
      <c r="H26" s="103"/>
      <c r="I26" s="97" t="str">
        <f>' '!M31</f>
        <v/>
      </c>
      <c r="J26" s="103"/>
      <c r="K26" s="103"/>
      <c r="L26" s="103"/>
      <c r="M26" s="97" t="str">
        <f>' '!I31</f>
        <v/>
      </c>
      <c r="N26" s="97" t="str">
        <f>' '!J31</f>
        <v/>
      </c>
      <c r="O26" s="97" t="str">
        <f>' '!K31</f>
        <v xml:space="preserve"> </v>
      </c>
      <c r="P26" s="103"/>
      <c r="Q26" s="99" t="str">
        <f>' '!P31</f>
        <v/>
      </c>
      <c r="R26" s="97" t="str">
        <f>' '!Q31</f>
        <v/>
      </c>
    </row>
    <row r="27" spans="1:19" x14ac:dyDescent="0.25">
      <c r="A27" s="100">
        <f>' '!A32</f>
        <v>8</v>
      </c>
      <c r="B27" s="101">
        <f ca="1">' '!C32</f>
        <v>45879</v>
      </c>
      <c r="C27" s="100">
        <f ca="1">' '!D32</f>
        <v>31</v>
      </c>
      <c r="D27" s="102">
        <f>' '!H32</f>
        <v>16161.34539537134</v>
      </c>
      <c r="E27" s="102">
        <f>' '!F32</f>
        <v>4375.7080746042875</v>
      </c>
      <c r="F27" s="97">
        <f>' '!G32</f>
        <v>11785.637320767051</v>
      </c>
      <c r="G27" s="102">
        <f>' '!O32</f>
        <v>0</v>
      </c>
      <c r="H27" s="105"/>
      <c r="I27" s="97" t="str">
        <f>' '!M32</f>
        <v/>
      </c>
      <c r="J27" s="105"/>
      <c r="K27" s="105"/>
      <c r="L27" s="105"/>
      <c r="M27" s="97" t="str">
        <f>' '!I32</f>
        <v/>
      </c>
      <c r="N27" s="97" t="str">
        <f>' '!J32</f>
        <v/>
      </c>
      <c r="O27" s="97" t="str">
        <f>' '!K32</f>
        <v xml:space="preserve"> </v>
      </c>
      <c r="P27" s="105"/>
      <c r="Q27" s="99" t="str">
        <f>' '!P32</f>
        <v/>
      </c>
      <c r="R27" s="97" t="str">
        <f>' '!Q32</f>
        <v/>
      </c>
    </row>
    <row r="28" spans="1:19" x14ac:dyDescent="0.25">
      <c r="A28" s="100">
        <f>' '!A33</f>
        <v>9</v>
      </c>
      <c r="B28" s="101">
        <f ca="1">' '!C33</f>
        <v>45910</v>
      </c>
      <c r="C28" s="100">
        <f ca="1">' '!D33</f>
        <v>31</v>
      </c>
      <c r="D28" s="102">
        <f>' '!H33</f>
        <v>16161.34539537134</v>
      </c>
      <c r="E28" s="102">
        <f>' '!F33</f>
        <v>4484.9184552996203</v>
      </c>
      <c r="F28" s="97">
        <f>' '!G33</f>
        <v>11676.426940071718</v>
      </c>
      <c r="G28" s="102">
        <f>' '!O33</f>
        <v>0</v>
      </c>
      <c r="H28" s="105"/>
      <c r="I28" s="97" t="str">
        <f>' '!M33</f>
        <v/>
      </c>
      <c r="J28" s="105"/>
      <c r="K28" s="105"/>
      <c r="L28" s="105"/>
      <c r="M28" s="97" t="str">
        <f>' '!I33</f>
        <v/>
      </c>
      <c r="N28" s="97" t="str">
        <f>' '!J33</f>
        <v/>
      </c>
      <c r="O28" s="97" t="str">
        <f>' '!K33</f>
        <v xml:space="preserve"> </v>
      </c>
      <c r="P28" s="105"/>
      <c r="Q28" s="99" t="str">
        <f>' '!P33</f>
        <v/>
      </c>
      <c r="R28" s="97" t="str">
        <f>' '!Q33</f>
        <v/>
      </c>
    </row>
    <row r="29" spans="1:19" x14ac:dyDescent="0.25">
      <c r="A29" s="100">
        <f>' '!A34</f>
        <v>10</v>
      </c>
      <c r="B29" s="101">
        <f ca="1">' '!C34</f>
        <v>45940</v>
      </c>
      <c r="C29" s="100">
        <f ca="1">' '!D34</f>
        <v>30</v>
      </c>
      <c r="D29" s="102">
        <f>' '!H34</f>
        <v>16161.345395371342</v>
      </c>
      <c r="E29" s="102">
        <f>' '!F34</f>
        <v>4596.8545450798065</v>
      </c>
      <c r="F29" s="97">
        <f>' '!G34</f>
        <v>11564.490850291535</v>
      </c>
      <c r="G29" s="102">
        <f>' '!O34</f>
        <v>0</v>
      </c>
      <c r="H29" s="105"/>
      <c r="I29" s="97" t="str">
        <f>' '!M34</f>
        <v/>
      </c>
      <c r="J29" s="105"/>
      <c r="K29" s="105"/>
      <c r="L29" s="105"/>
      <c r="M29" s="97" t="str">
        <f>' '!I34</f>
        <v/>
      </c>
      <c r="N29" s="97" t="str">
        <f>' '!J34</f>
        <v/>
      </c>
      <c r="O29" s="97" t="str">
        <f>' '!K34</f>
        <v xml:space="preserve"> </v>
      </c>
      <c r="P29" s="105"/>
      <c r="Q29" s="99" t="str">
        <f>' '!P34</f>
        <v/>
      </c>
      <c r="R29" s="97" t="str">
        <f>' '!Q34</f>
        <v/>
      </c>
    </row>
    <row r="30" spans="1:19" x14ac:dyDescent="0.25">
      <c r="A30" s="100">
        <f>' '!A35</f>
        <v>11</v>
      </c>
      <c r="B30" s="101">
        <f ca="1">' '!C35</f>
        <v>45971</v>
      </c>
      <c r="C30" s="100">
        <f ca="1">' '!D35</f>
        <v>31</v>
      </c>
      <c r="D30" s="102">
        <f>' '!H35</f>
        <v>16161.34539537134</v>
      </c>
      <c r="E30" s="102">
        <f>' '!F35</f>
        <v>4711.5843731007553</v>
      </c>
      <c r="F30" s="97">
        <f>' '!G35</f>
        <v>11449.761022270584</v>
      </c>
      <c r="G30" s="102">
        <f>' '!O35</f>
        <v>0</v>
      </c>
      <c r="H30" s="105"/>
      <c r="I30" s="97" t="str">
        <f>' '!M35</f>
        <v/>
      </c>
      <c r="J30" s="105"/>
      <c r="K30" s="105"/>
      <c r="L30" s="105"/>
      <c r="M30" s="97" t="str">
        <f>' '!I35</f>
        <v/>
      </c>
      <c r="N30" s="97" t="str">
        <f>' '!J35</f>
        <v/>
      </c>
      <c r="O30" s="97" t="str">
        <f>' '!K35</f>
        <v xml:space="preserve"> </v>
      </c>
      <c r="P30" s="105"/>
      <c r="Q30" s="99" t="str">
        <f>' '!P35</f>
        <v/>
      </c>
      <c r="R30" s="97" t="str">
        <f>' '!Q35</f>
        <v/>
      </c>
    </row>
    <row r="31" spans="1:19" x14ac:dyDescent="0.25">
      <c r="A31" s="100">
        <f>' '!A36</f>
        <v>12</v>
      </c>
      <c r="B31" s="101">
        <f ca="1">' '!C36</f>
        <v>46001</v>
      </c>
      <c r="C31" s="100">
        <f ca="1">' '!D36</f>
        <v>30</v>
      </c>
      <c r="D31" s="102">
        <f>' '!H36</f>
        <v>16161.34539537134</v>
      </c>
      <c r="E31" s="102">
        <f>' '!F36</f>
        <v>4829.1776664127301</v>
      </c>
      <c r="F31" s="97">
        <f>' '!G36</f>
        <v>11332.16772895861</v>
      </c>
      <c r="G31" s="102">
        <f>' '!O36</f>
        <v>0</v>
      </c>
      <c r="H31" s="105"/>
      <c r="I31" s="97" t="str">
        <f>' '!M36</f>
        <v/>
      </c>
      <c r="J31" s="105"/>
      <c r="K31" s="105"/>
      <c r="L31" s="105"/>
      <c r="M31" s="97" t="str">
        <f>' '!I36</f>
        <v/>
      </c>
      <c r="N31" s="97" t="str">
        <f>' '!J36</f>
        <v/>
      </c>
      <c r="O31" s="97" t="str">
        <f>' '!K36</f>
        <v xml:space="preserve"> </v>
      </c>
      <c r="P31" s="105"/>
      <c r="Q31" s="99" t="str">
        <f>' '!P36</f>
        <v/>
      </c>
      <c r="R31" s="97" t="str">
        <f>' '!Q36</f>
        <v/>
      </c>
    </row>
    <row r="32" spans="1:19" x14ac:dyDescent="0.25">
      <c r="A32" s="100">
        <f>' '!A37</f>
        <v>13</v>
      </c>
      <c r="B32" s="101">
        <f ca="1">' '!C37</f>
        <v>46032</v>
      </c>
      <c r="C32" s="100">
        <f ca="1">' '!D37</f>
        <v>31</v>
      </c>
      <c r="D32" s="102">
        <f>' '!H37</f>
        <v>16161.345395371342</v>
      </c>
      <c r="E32" s="102">
        <f>' '!F37</f>
        <v>4949.7058923369477</v>
      </c>
      <c r="F32" s="97">
        <f>' '!G37</f>
        <v>11211.639503034394</v>
      </c>
      <c r="G32" s="102">
        <f>' '!O37</f>
        <v>0</v>
      </c>
      <c r="H32" s="105"/>
      <c r="I32" s="97" t="str">
        <f>' '!M37</f>
        <v/>
      </c>
      <c r="J32" s="105"/>
      <c r="K32" s="105"/>
      <c r="L32" s="105"/>
      <c r="M32" s="97" t="str">
        <f>' '!I37</f>
        <v/>
      </c>
      <c r="N32" s="98">
        <f>' '!J37</f>
        <v>0</v>
      </c>
      <c r="O32" s="98">
        <f>' '!K37</f>
        <v>0</v>
      </c>
      <c r="P32" s="105"/>
      <c r="Q32" s="99" t="str">
        <f>' '!P37</f>
        <v/>
      </c>
      <c r="R32" s="97" t="str">
        <f>' '!Q37</f>
        <v/>
      </c>
      <c r="S32" s="90"/>
    </row>
    <row r="33" spans="1:18" x14ac:dyDescent="0.25">
      <c r="A33" s="100">
        <f>' '!A38</f>
        <v>14</v>
      </c>
      <c r="B33" s="101">
        <f ca="1">' '!C38</f>
        <v>46063</v>
      </c>
      <c r="C33" s="100">
        <f ca="1">' '!D38</f>
        <v>31</v>
      </c>
      <c r="D33" s="102">
        <f>' '!H38</f>
        <v>16161.34539537134</v>
      </c>
      <c r="E33" s="102">
        <f>' '!F38</f>
        <v>5073.242301899857</v>
      </c>
      <c r="F33" s="97">
        <f>' '!G38</f>
        <v>11088.103093471484</v>
      </c>
      <c r="G33" s="102">
        <f>' '!O38</f>
        <v>0</v>
      </c>
      <c r="H33" s="105"/>
      <c r="I33" s="97" t="str">
        <f>' '!M38</f>
        <v/>
      </c>
      <c r="J33" s="105"/>
      <c r="K33" s="105"/>
      <c r="L33" s="105"/>
      <c r="M33" s="97" t="str">
        <f>' '!I38</f>
        <v/>
      </c>
      <c r="N33" s="98" t="str">
        <f>' '!J38</f>
        <v/>
      </c>
      <c r="O33" s="98" t="str">
        <f>' '!K38</f>
        <v xml:space="preserve"> </v>
      </c>
      <c r="P33" s="105"/>
      <c r="Q33" s="99" t="str">
        <f>' '!P38</f>
        <v/>
      </c>
      <c r="R33" s="97" t="str">
        <f>' '!Q38</f>
        <v/>
      </c>
    </row>
    <row r="34" spans="1:18" x14ac:dyDescent="0.25">
      <c r="A34" s="100">
        <f>' '!A39</f>
        <v>15</v>
      </c>
      <c r="B34" s="101">
        <f ca="1">' '!C39</f>
        <v>46091</v>
      </c>
      <c r="C34" s="100">
        <f ca="1">' '!D39</f>
        <v>28</v>
      </c>
      <c r="D34" s="102">
        <f>' '!H39</f>
        <v>16161.34539537134</v>
      </c>
      <c r="E34" s="102">
        <f>' '!F39</f>
        <v>5199.8619743514409</v>
      </c>
      <c r="F34" s="97">
        <f>' '!G39</f>
        <v>10961.483421019899</v>
      </c>
      <c r="G34" s="102">
        <f>' '!O39</f>
        <v>0</v>
      </c>
      <c r="H34" s="105"/>
      <c r="I34" s="97" t="str">
        <f>' '!M39</f>
        <v/>
      </c>
      <c r="J34" s="105"/>
      <c r="K34" s="105"/>
      <c r="L34" s="105"/>
      <c r="M34" s="97" t="str">
        <f>' '!I39</f>
        <v/>
      </c>
      <c r="N34" s="98" t="str">
        <f>' '!J39</f>
        <v/>
      </c>
      <c r="O34" s="98" t="str">
        <f>' '!K39</f>
        <v xml:space="preserve"> </v>
      </c>
      <c r="P34" s="105"/>
      <c r="Q34" s="99" t="str">
        <f>' '!P39</f>
        <v/>
      </c>
      <c r="R34" s="97" t="str">
        <f>' '!Q39</f>
        <v/>
      </c>
    </row>
    <row r="35" spans="1:18" x14ac:dyDescent="0.25">
      <c r="A35" s="100">
        <f>' '!A40</f>
        <v>16</v>
      </c>
      <c r="B35" s="101">
        <f ca="1">' '!C40</f>
        <v>46122</v>
      </c>
      <c r="C35" s="100">
        <f ca="1">' '!D40</f>
        <v>31</v>
      </c>
      <c r="D35" s="102">
        <f>' '!H40</f>
        <v>16161.345395371342</v>
      </c>
      <c r="E35" s="102">
        <f>' '!F40</f>
        <v>5329.6418627946296</v>
      </c>
      <c r="F35" s="97">
        <f>' '!G40</f>
        <v>10831.703532576712</v>
      </c>
      <c r="G35" s="102">
        <f>' '!O40</f>
        <v>0</v>
      </c>
      <c r="H35" s="105"/>
      <c r="I35" s="97" t="str">
        <f>' '!M40</f>
        <v/>
      </c>
      <c r="J35" s="105"/>
      <c r="K35" s="105"/>
      <c r="L35" s="105"/>
      <c r="M35" s="97" t="str">
        <f>' '!I40</f>
        <v/>
      </c>
      <c r="N35" s="98" t="str">
        <f>' '!J40</f>
        <v/>
      </c>
      <c r="O35" s="98" t="str">
        <f>' '!K40</f>
        <v xml:space="preserve"> </v>
      </c>
      <c r="P35" s="105"/>
      <c r="Q35" s="99" t="str">
        <f>' '!P40</f>
        <v/>
      </c>
      <c r="R35" s="97" t="str">
        <f>' '!Q40</f>
        <v/>
      </c>
    </row>
    <row r="36" spans="1:18" x14ac:dyDescent="0.25">
      <c r="A36" s="100">
        <f>' '!A41</f>
        <v>17</v>
      </c>
      <c r="B36" s="101">
        <f ca="1">' '!C41</f>
        <v>46152</v>
      </c>
      <c r="C36" s="100">
        <f ca="1">' '!D41</f>
        <v>30</v>
      </c>
      <c r="D36" s="102">
        <f>' '!H41</f>
        <v>16161.34539537134</v>
      </c>
      <c r="E36" s="102">
        <f>' '!F41</f>
        <v>5462.6608409535447</v>
      </c>
      <c r="F36" s="97">
        <f>' '!G41</f>
        <v>10698.684554417796</v>
      </c>
      <c r="G36" s="102">
        <f>' '!O41</f>
        <v>0</v>
      </c>
      <c r="H36" s="105"/>
      <c r="I36" s="97" t="str">
        <f>' '!M41</f>
        <v/>
      </c>
      <c r="J36" s="105"/>
      <c r="K36" s="105"/>
      <c r="L36" s="105"/>
      <c r="M36" s="97" t="str">
        <f>' '!I41</f>
        <v/>
      </c>
      <c r="N36" s="98" t="str">
        <f>' '!J41</f>
        <v/>
      </c>
      <c r="O36" s="98" t="str">
        <f>' '!K41</f>
        <v xml:space="preserve"> </v>
      </c>
      <c r="P36" s="105"/>
      <c r="Q36" s="99" t="str">
        <f>' '!P41</f>
        <v/>
      </c>
      <c r="R36" s="97" t="str">
        <f>' '!Q41</f>
        <v/>
      </c>
    </row>
    <row r="37" spans="1:18" x14ac:dyDescent="0.25">
      <c r="A37" s="100">
        <f>' '!A42</f>
        <v>18</v>
      </c>
      <c r="B37" s="101">
        <f ca="1">' '!C42</f>
        <v>46183</v>
      </c>
      <c r="C37" s="100">
        <f ca="1">' '!D42</f>
        <v>31</v>
      </c>
      <c r="D37" s="102">
        <f>' '!H42</f>
        <v>16161.34539537134</v>
      </c>
      <c r="E37" s="102">
        <f>' '!F42</f>
        <v>5598.9997511090105</v>
      </c>
      <c r="F37" s="97">
        <f>' '!G42</f>
        <v>10562.34564426233</v>
      </c>
      <c r="G37" s="102">
        <f>' '!O42</f>
        <v>0</v>
      </c>
      <c r="H37" s="105"/>
      <c r="I37" s="97" t="str">
        <f>' '!M42</f>
        <v/>
      </c>
      <c r="J37" s="105"/>
      <c r="K37" s="105"/>
      <c r="L37" s="105"/>
      <c r="M37" s="97" t="str">
        <f>' '!I42</f>
        <v/>
      </c>
      <c r="N37" s="98" t="str">
        <f>' '!J42</f>
        <v/>
      </c>
      <c r="O37" s="98" t="str">
        <f>' '!K42</f>
        <v xml:space="preserve"> </v>
      </c>
      <c r="P37" s="105"/>
      <c r="Q37" s="99" t="str">
        <f>' '!P42</f>
        <v/>
      </c>
      <c r="R37" s="97" t="str">
        <f>' '!Q42</f>
        <v/>
      </c>
    </row>
    <row r="38" spans="1:18" x14ac:dyDescent="0.25">
      <c r="A38" s="100">
        <f>' '!A43</f>
        <v>19</v>
      </c>
      <c r="B38" s="101">
        <f ca="1">' '!C43</f>
        <v>46213</v>
      </c>
      <c r="C38" s="100">
        <f ca="1">' '!D43</f>
        <v>30</v>
      </c>
      <c r="D38" s="102">
        <f>' '!H43</f>
        <v>16161.345395371342</v>
      </c>
      <c r="E38" s="102">
        <f>' '!F43</f>
        <v>5738.7414532304392</v>
      </c>
      <c r="F38" s="97">
        <f>' '!G43</f>
        <v>10422.603942140902</v>
      </c>
      <c r="G38" s="102">
        <f>' '!O43</f>
        <v>0</v>
      </c>
      <c r="H38" s="105"/>
      <c r="I38" s="97" t="str">
        <f>' '!M43</f>
        <v/>
      </c>
      <c r="J38" s="105"/>
      <c r="K38" s="105"/>
      <c r="L38" s="105"/>
      <c r="M38" s="97" t="str">
        <f>' '!I43</f>
        <v/>
      </c>
      <c r="N38" s="98" t="str">
        <f>' '!J43</f>
        <v/>
      </c>
      <c r="O38" s="98" t="str">
        <f>' '!K43</f>
        <v xml:space="preserve"> </v>
      </c>
      <c r="P38" s="105"/>
      <c r="Q38" s="99" t="str">
        <f>' '!P43</f>
        <v/>
      </c>
      <c r="R38" s="97" t="str">
        <f>' '!Q43</f>
        <v/>
      </c>
    </row>
    <row r="39" spans="1:18" x14ac:dyDescent="0.25">
      <c r="A39" s="100">
        <f>' '!A44</f>
        <v>20</v>
      </c>
      <c r="B39" s="101">
        <f ca="1">' '!C44</f>
        <v>46244</v>
      </c>
      <c r="C39" s="100">
        <f ca="1">' '!D44</f>
        <v>31</v>
      </c>
      <c r="D39" s="102">
        <f>' '!H44</f>
        <v>16161.345395371342</v>
      </c>
      <c r="E39" s="102">
        <f>' '!F44</f>
        <v>5881.9708753339819</v>
      </c>
      <c r="F39" s="97">
        <f>' '!G44</f>
        <v>10279.37452003736</v>
      </c>
      <c r="G39" s="102">
        <f>' '!O44</f>
        <v>0</v>
      </c>
      <c r="H39" s="105"/>
      <c r="I39" s="97" t="str">
        <f>' '!M44</f>
        <v/>
      </c>
      <c r="J39" s="105"/>
      <c r="K39" s="105"/>
      <c r="L39" s="105"/>
      <c r="M39" s="97" t="str">
        <f>' '!I44</f>
        <v/>
      </c>
      <c r="N39" s="98" t="str">
        <f>' '!J44</f>
        <v/>
      </c>
      <c r="O39" s="98" t="str">
        <f>' '!K44</f>
        <v xml:space="preserve"> </v>
      </c>
      <c r="P39" s="105"/>
      <c r="Q39" s="99" t="str">
        <f>' '!P44</f>
        <v/>
      </c>
      <c r="R39" s="97" t="str">
        <f>' '!Q44</f>
        <v/>
      </c>
    </row>
    <row r="40" spans="1:18" x14ac:dyDescent="0.25">
      <c r="A40" s="100">
        <f>' '!A45</f>
        <v>21</v>
      </c>
      <c r="B40" s="101">
        <f ca="1">' '!C45</f>
        <v>46275</v>
      </c>
      <c r="C40" s="100">
        <f ca="1">' '!D45</f>
        <v>31</v>
      </c>
      <c r="D40" s="102">
        <f>' '!H45</f>
        <v>16161.34539537134</v>
      </c>
      <c r="E40" s="102">
        <f>' '!F45</f>
        <v>6028.7750650975258</v>
      </c>
      <c r="F40" s="97">
        <f>' '!G45</f>
        <v>10132.570330273815</v>
      </c>
      <c r="G40" s="102">
        <f>' '!O45</f>
        <v>0</v>
      </c>
      <c r="H40" s="105"/>
      <c r="I40" s="97" t="str">
        <f>' '!M45</f>
        <v/>
      </c>
      <c r="J40" s="105"/>
      <c r="K40" s="105"/>
      <c r="L40" s="105"/>
      <c r="M40" s="97" t="str">
        <f>' '!I45</f>
        <v/>
      </c>
      <c r="N40" s="98" t="str">
        <f>' '!J45</f>
        <v/>
      </c>
      <c r="O40" s="98" t="str">
        <f>' '!K45</f>
        <v xml:space="preserve"> </v>
      </c>
      <c r="P40" s="105"/>
      <c r="Q40" s="99" t="str">
        <f>' '!P45</f>
        <v/>
      </c>
      <c r="R40" s="97" t="str">
        <f>' '!Q45</f>
        <v/>
      </c>
    </row>
    <row r="41" spans="1:18" x14ac:dyDescent="0.25">
      <c r="A41" s="100">
        <f>' '!A46</f>
        <v>22</v>
      </c>
      <c r="B41" s="101">
        <f ca="1">' '!C46</f>
        <v>46305</v>
      </c>
      <c r="C41" s="100">
        <f ca="1">' '!D46</f>
        <v>30</v>
      </c>
      <c r="D41" s="102">
        <f>' '!H46</f>
        <v>16161.34539537134</v>
      </c>
      <c r="E41" s="102">
        <f>' '!F46</f>
        <v>6179.2432427639187</v>
      </c>
      <c r="F41" s="97">
        <f>' '!G46</f>
        <v>9982.1021526074219</v>
      </c>
      <c r="G41" s="102">
        <f>' '!O46</f>
        <v>0</v>
      </c>
      <c r="H41" s="105"/>
      <c r="I41" s="97" t="str">
        <f>' '!M46</f>
        <v/>
      </c>
      <c r="J41" s="105"/>
      <c r="K41" s="105"/>
      <c r="L41" s="105"/>
      <c r="M41" s="97" t="str">
        <f>' '!I46</f>
        <v/>
      </c>
      <c r="N41" s="98" t="str">
        <f>' '!J46</f>
        <v/>
      </c>
      <c r="O41" s="98" t="str">
        <f>' '!K46</f>
        <v xml:space="preserve"> </v>
      </c>
      <c r="P41" s="105"/>
      <c r="Q41" s="99" t="str">
        <f>' '!P46</f>
        <v/>
      </c>
      <c r="R41" s="97" t="str">
        <f>' '!Q46</f>
        <v/>
      </c>
    </row>
    <row r="42" spans="1:18" x14ac:dyDescent="0.25">
      <c r="A42" s="100">
        <f>' '!A47</f>
        <v>23</v>
      </c>
      <c r="B42" s="101">
        <f ca="1">' '!C47</f>
        <v>46336</v>
      </c>
      <c r="C42" s="100">
        <f ca="1">' '!D47</f>
        <v>31</v>
      </c>
      <c r="D42" s="102">
        <f>' '!H47</f>
        <v>16161.34539537134</v>
      </c>
      <c r="E42" s="102">
        <f>' '!F47</f>
        <v>6333.4668553645679</v>
      </c>
      <c r="F42" s="97">
        <f>' '!G47</f>
        <v>9827.8785400067718</v>
      </c>
      <c r="G42" s="102">
        <f>' '!O47</f>
        <v>0</v>
      </c>
      <c r="H42" s="105"/>
      <c r="I42" s="97" t="str">
        <f>' '!M47</f>
        <v/>
      </c>
      <c r="J42" s="105"/>
      <c r="K42" s="105"/>
      <c r="L42" s="105"/>
      <c r="M42" s="97" t="str">
        <f>' '!I47</f>
        <v/>
      </c>
      <c r="N42" s="98" t="str">
        <f>' '!J47</f>
        <v/>
      </c>
      <c r="O42" s="98" t="str">
        <f>' '!K47</f>
        <v xml:space="preserve"> </v>
      </c>
      <c r="P42" s="105"/>
      <c r="Q42" s="99" t="str">
        <f>' '!P47</f>
        <v/>
      </c>
      <c r="R42" s="97" t="str">
        <f>' '!Q47</f>
        <v/>
      </c>
    </row>
    <row r="43" spans="1:18" x14ac:dyDescent="0.25">
      <c r="A43" s="100">
        <f>' '!A48</f>
        <v>24</v>
      </c>
      <c r="B43" s="101">
        <f ca="1">' '!C48</f>
        <v>46366</v>
      </c>
      <c r="C43" s="100">
        <f ca="1">' '!D48</f>
        <v>30</v>
      </c>
      <c r="D43" s="102">
        <f>' '!H48</f>
        <v>16161.34539537134</v>
      </c>
      <c r="E43" s="102">
        <f>' '!F48</f>
        <v>6491.5396322963761</v>
      </c>
      <c r="F43" s="97">
        <f>' '!G48</f>
        <v>9669.8057630749645</v>
      </c>
      <c r="G43" s="102">
        <f>' '!O48</f>
        <v>0</v>
      </c>
      <c r="H43" s="105"/>
      <c r="I43" s="97" t="str">
        <f>' '!M48</f>
        <v/>
      </c>
      <c r="J43" s="105"/>
      <c r="K43" s="105"/>
      <c r="L43" s="105"/>
      <c r="M43" s="97" t="str">
        <f>' '!I48</f>
        <v/>
      </c>
      <c r="N43" s="98" t="str">
        <f>' '!J48</f>
        <v/>
      </c>
      <c r="O43" s="98" t="str">
        <f>' '!K48</f>
        <v xml:space="preserve"> </v>
      </c>
      <c r="P43" s="105"/>
      <c r="Q43" s="99" t="str">
        <f>' '!P48</f>
        <v/>
      </c>
      <c r="R43" s="97" t="str">
        <f>' '!Q48</f>
        <v/>
      </c>
    </row>
    <row r="44" spans="1:18" x14ac:dyDescent="0.25">
      <c r="A44" s="100">
        <f>' '!A49</f>
        <v>25</v>
      </c>
      <c r="B44" s="101">
        <f ca="1">' '!C49</f>
        <v>46397</v>
      </c>
      <c r="C44" s="100">
        <f ca="1">' '!D49</f>
        <v>31</v>
      </c>
      <c r="D44" s="102">
        <f>' '!H49</f>
        <v>16161.34539537134</v>
      </c>
      <c r="E44" s="102">
        <f>' '!F49</f>
        <v>6653.5576422857721</v>
      </c>
      <c r="F44" s="97">
        <f>' '!G49</f>
        <v>9507.7877530855676</v>
      </c>
      <c r="G44" s="102">
        <f>' '!O49</f>
        <v>0</v>
      </c>
      <c r="H44" s="105"/>
      <c r="I44" s="97" t="str">
        <f>' '!M49</f>
        <v/>
      </c>
      <c r="J44" s="105"/>
      <c r="K44" s="105"/>
      <c r="L44" s="105"/>
      <c r="M44" s="97" t="str">
        <f>' '!I49</f>
        <v/>
      </c>
      <c r="N44" s="98">
        <f>' '!J49</f>
        <v>0</v>
      </c>
      <c r="O44" s="98">
        <f>' '!K49</f>
        <v>0</v>
      </c>
      <c r="P44" s="105"/>
      <c r="Q44" s="99" t="str">
        <f>' '!P49</f>
        <v/>
      </c>
      <c r="R44" s="97" t="str">
        <f>' '!Q49</f>
        <v/>
      </c>
    </row>
    <row r="45" spans="1:18" x14ac:dyDescent="0.25">
      <c r="A45" s="100">
        <f>' '!A50</f>
        <v>26</v>
      </c>
      <c r="B45" s="101">
        <f ca="1">' '!C50</f>
        <v>46428</v>
      </c>
      <c r="C45" s="100">
        <f ca="1">' '!D50</f>
        <v>31</v>
      </c>
      <c r="D45" s="102">
        <f>' '!H50</f>
        <v>16161.34539537134</v>
      </c>
      <c r="E45" s="102">
        <f>' '!F50</f>
        <v>6819.6193517744887</v>
      </c>
      <c r="F45" s="97">
        <f>' '!G50</f>
        <v>9341.726043596851</v>
      </c>
      <c r="G45" s="102">
        <f>' '!O50</f>
        <v>0</v>
      </c>
      <c r="H45" s="105"/>
      <c r="I45" s="97" t="str">
        <f>' '!M50</f>
        <v/>
      </c>
      <c r="J45" s="105"/>
      <c r="K45" s="105"/>
      <c r="L45" s="105"/>
      <c r="M45" s="97" t="str">
        <f>' '!I50</f>
        <v/>
      </c>
      <c r="N45" s="98" t="str">
        <f>' '!J50</f>
        <v/>
      </c>
      <c r="O45" s="98" t="str">
        <f>' '!K50</f>
        <v xml:space="preserve"> </v>
      </c>
      <c r="P45" s="105"/>
      <c r="Q45" s="99" t="str">
        <f>' '!P50</f>
        <v/>
      </c>
      <c r="R45" s="97" t="str">
        <f>' '!Q50</f>
        <v/>
      </c>
    </row>
    <row r="46" spans="1:18" x14ac:dyDescent="0.25">
      <c r="A46" s="100">
        <f>' '!A51</f>
        <v>27</v>
      </c>
      <c r="B46" s="101">
        <f ca="1">' '!C51</f>
        <v>46456</v>
      </c>
      <c r="C46" s="100">
        <f ca="1">' '!D51</f>
        <v>28</v>
      </c>
      <c r="D46" s="102">
        <f>' '!H51</f>
        <v>16161.34539537134</v>
      </c>
      <c r="E46" s="102">
        <f>' '!F51</f>
        <v>6989.8256847625262</v>
      </c>
      <c r="F46" s="97">
        <f>' '!G51</f>
        <v>9171.5197106088126</v>
      </c>
      <c r="G46" s="102">
        <f>' '!O51</f>
        <v>0</v>
      </c>
      <c r="H46" s="105"/>
      <c r="I46" s="97" t="str">
        <f>' '!M51</f>
        <v/>
      </c>
      <c r="J46" s="105"/>
      <c r="K46" s="105"/>
      <c r="L46" s="105"/>
      <c r="M46" s="97" t="str">
        <f>' '!I51</f>
        <v/>
      </c>
      <c r="N46" s="98" t="str">
        <f>' '!J51</f>
        <v/>
      </c>
      <c r="O46" s="98" t="str">
        <f>' '!K51</f>
        <v xml:space="preserve"> </v>
      </c>
      <c r="P46" s="105"/>
      <c r="Q46" s="99" t="str">
        <f>' '!P51</f>
        <v/>
      </c>
      <c r="R46" s="97" t="str">
        <f>' '!Q51</f>
        <v/>
      </c>
    </row>
    <row r="47" spans="1:18" x14ac:dyDescent="0.25">
      <c r="A47" s="100">
        <f>' '!A52</f>
        <v>28</v>
      </c>
      <c r="B47" s="101">
        <f ca="1">' '!C52</f>
        <v>46487</v>
      </c>
      <c r="C47" s="100">
        <f ca="1">' '!D52</f>
        <v>31</v>
      </c>
      <c r="D47" s="102">
        <f>' '!H52</f>
        <v>16161.34539537134</v>
      </c>
      <c r="E47" s="102">
        <f>' '!F52</f>
        <v>7164.2800841447252</v>
      </c>
      <c r="F47" s="97">
        <f>' '!G52</f>
        <v>8997.0653112266154</v>
      </c>
      <c r="G47" s="102">
        <f>' '!O52</f>
        <v>0</v>
      </c>
      <c r="H47" s="105"/>
      <c r="I47" s="97" t="str">
        <f>' '!M52</f>
        <v/>
      </c>
      <c r="J47" s="105"/>
      <c r="K47" s="105"/>
      <c r="L47" s="105"/>
      <c r="M47" s="97" t="str">
        <f>' '!I52</f>
        <v/>
      </c>
      <c r="N47" s="98" t="str">
        <f>' '!J52</f>
        <v/>
      </c>
      <c r="O47" s="98" t="str">
        <f>' '!K52</f>
        <v xml:space="preserve"> </v>
      </c>
      <c r="P47" s="105"/>
      <c r="Q47" s="99" t="str">
        <f>' '!P52</f>
        <v/>
      </c>
      <c r="R47" s="97" t="str">
        <f>' '!Q52</f>
        <v/>
      </c>
    </row>
    <row r="48" spans="1:18" x14ac:dyDescent="0.25">
      <c r="A48" s="100">
        <f>' '!A53</f>
        <v>29</v>
      </c>
      <c r="B48" s="101">
        <f ca="1">' '!C53</f>
        <v>46517</v>
      </c>
      <c r="C48" s="100">
        <f ca="1">' '!D53</f>
        <v>30</v>
      </c>
      <c r="D48" s="102">
        <f>' '!H53</f>
        <v>16161.34539537134</v>
      </c>
      <c r="E48" s="102">
        <f>' '!F53</f>
        <v>7343.0885745781698</v>
      </c>
      <c r="F48" s="97">
        <f>' '!G53</f>
        <v>8818.2568207931708</v>
      </c>
      <c r="G48" s="102">
        <f>' '!O53</f>
        <v>0</v>
      </c>
      <c r="H48" s="105"/>
      <c r="I48" s="97" t="str">
        <f>' '!M53</f>
        <v/>
      </c>
      <c r="J48" s="105"/>
      <c r="K48" s="105"/>
      <c r="L48" s="105"/>
      <c r="M48" s="97" t="str">
        <f>' '!I53</f>
        <v/>
      </c>
      <c r="N48" s="98" t="str">
        <f>' '!J53</f>
        <v/>
      </c>
      <c r="O48" s="98" t="str">
        <f>' '!K53</f>
        <v xml:space="preserve"> </v>
      </c>
      <c r="P48" s="105"/>
      <c r="Q48" s="99" t="str">
        <f>' '!P53</f>
        <v/>
      </c>
      <c r="R48" s="97" t="str">
        <f>' '!Q53</f>
        <v/>
      </c>
    </row>
    <row r="49" spans="1:19" x14ac:dyDescent="0.25">
      <c r="A49" s="100">
        <f>' '!A54</f>
        <v>30</v>
      </c>
      <c r="B49" s="101">
        <f ca="1">' '!C54</f>
        <v>46548</v>
      </c>
      <c r="C49" s="100">
        <f ca="1">' '!D54</f>
        <v>31</v>
      </c>
      <c r="D49" s="102">
        <f>' '!H54</f>
        <v>16161.34539537134</v>
      </c>
      <c r="E49" s="102">
        <f>' '!F54</f>
        <v>7526.3598269186832</v>
      </c>
      <c r="F49" s="97">
        <f>' '!G54</f>
        <v>8634.9855684526574</v>
      </c>
      <c r="G49" s="102">
        <f>' '!O54</f>
        <v>0</v>
      </c>
      <c r="H49" s="105"/>
      <c r="I49" s="97" t="str">
        <f>' '!M54</f>
        <v/>
      </c>
      <c r="J49" s="105"/>
      <c r="K49" s="105"/>
      <c r="L49" s="105"/>
      <c r="M49" s="97" t="str">
        <f>' '!I54</f>
        <v/>
      </c>
      <c r="N49" s="98" t="str">
        <f>' '!J54</f>
        <v/>
      </c>
      <c r="O49" s="98" t="str">
        <f>' '!K54</f>
        <v xml:space="preserve"> </v>
      </c>
      <c r="P49" s="105"/>
      <c r="Q49" s="99" t="str">
        <f>' '!P54</f>
        <v/>
      </c>
      <c r="R49" s="97" t="str">
        <f>' '!Q54</f>
        <v/>
      </c>
    </row>
    <row r="50" spans="1:19" x14ac:dyDescent="0.25">
      <c r="A50" s="100">
        <f>' '!A55</f>
        <v>31</v>
      </c>
      <c r="B50" s="101">
        <f ca="1">' '!C55</f>
        <v>46578</v>
      </c>
      <c r="C50" s="100">
        <f ca="1">' '!D55</f>
        <v>30</v>
      </c>
      <c r="D50" s="102">
        <f>' '!H55</f>
        <v>16161.34539537134</v>
      </c>
      <c r="E50" s="102">
        <f>' '!F55</f>
        <v>7714.2052242655282</v>
      </c>
      <c r="F50" s="97">
        <f>' '!G55</f>
        <v>8447.1401711058115</v>
      </c>
      <c r="G50" s="102">
        <f>' '!O55</f>
        <v>0</v>
      </c>
      <c r="H50" s="105"/>
      <c r="I50" s="97" t="str">
        <f>' '!M55</f>
        <v/>
      </c>
      <c r="J50" s="105"/>
      <c r="K50" s="105"/>
      <c r="L50" s="105"/>
      <c r="M50" s="97" t="str">
        <f>' '!I55</f>
        <v/>
      </c>
      <c r="N50" s="98" t="str">
        <f>' '!J55</f>
        <v/>
      </c>
      <c r="O50" s="98" t="str">
        <f>' '!K55</f>
        <v xml:space="preserve"> </v>
      </c>
      <c r="P50" s="105"/>
      <c r="Q50" s="99" t="str">
        <f>' '!P55</f>
        <v/>
      </c>
      <c r="R50" s="97" t="str">
        <f>' '!Q55</f>
        <v/>
      </c>
    </row>
    <row r="51" spans="1:19" x14ac:dyDescent="0.25">
      <c r="A51" s="100">
        <f>' '!A56</f>
        <v>32</v>
      </c>
      <c r="B51" s="101">
        <f ca="1">' '!C56</f>
        <v>46609</v>
      </c>
      <c r="C51" s="100">
        <f ca="1">' '!D56</f>
        <v>31</v>
      </c>
      <c r="D51" s="102">
        <f>' '!H56</f>
        <v>16161.34539537134</v>
      </c>
      <c r="E51" s="102">
        <f>' '!F56</f>
        <v>7906.7389296544889</v>
      </c>
      <c r="F51" s="97">
        <f>' '!G56</f>
        <v>8254.6064657168499</v>
      </c>
      <c r="G51" s="102">
        <f>' '!O56</f>
        <v>0</v>
      </c>
      <c r="H51" s="105"/>
      <c r="I51" s="97" t="str">
        <f>' '!M56</f>
        <v/>
      </c>
      <c r="J51" s="105"/>
      <c r="K51" s="105"/>
      <c r="L51" s="105"/>
      <c r="M51" s="97" t="str">
        <f>' '!I56</f>
        <v/>
      </c>
      <c r="N51" s="98" t="str">
        <f>' '!J56</f>
        <v/>
      </c>
      <c r="O51" s="98" t="str">
        <f>' '!K56</f>
        <v xml:space="preserve"> </v>
      </c>
      <c r="P51" s="105"/>
      <c r="Q51" s="99" t="str">
        <f>' '!P56</f>
        <v/>
      </c>
      <c r="R51" s="97" t="str">
        <f>' '!Q56</f>
        <v/>
      </c>
    </row>
    <row r="52" spans="1:19" x14ac:dyDescent="0.25">
      <c r="A52" s="100">
        <f>' '!A57</f>
        <v>33</v>
      </c>
      <c r="B52" s="101">
        <f ca="1">' '!C57</f>
        <v>46640</v>
      </c>
      <c r="C52" s="100">
        <f ca="1">' '!D57</f>
        <v>31</v>
      </c>
      <c r="D52" s="102">
        <f>' '!H57</f>
        <v>16161.34539537134</v>
      </c>
      <c r="E52" s="102">
        <f>' '!F57</f>
        <v>8104.077955440448</v>
      </c>
      <c r="F52" s="97">
        <f>' '!G57</f>
        <v>8057.2674399308917</v>
      </c>
      <c r="G52" s="102">
        <f>' '!O57</f>
        <v>0</v>
      </c>
      <c r="H52" s="105"/>
      <c r="I52" s="97" t="str">
        <f>' '!M57</f>
        <v/>
      </c>
      <c r="J52" s="105"/>
      <c r="K52" s="105"/>
      <c r="L52" s="105"/>
      <c r="M52" s="97" t="str">
        <f>' '!I57</f>
        <v/>
      </c>
      <c r="N52" s="98" t="str">
        <f>' '!J57</f>
        <v/>
      </c>
      <c r="O52" s="98" t="str">
        <f>' '!K57</f>
        <v xml:space="preserve"> </v>
      </c>
      <c r="P52" s="105"/>
      <c r="Q52" s="99" t="str">
        <f>' '!P57</f>
        <v/>
      </c>
      <c r="R52" s="97" t="str">
        <f>' '!Q57</f>
        <v/>
      </c>
    </row>
    <row r="53" spans="1:19" x14ac:dyDescent="0.25">
      <c r="A53" s="100">
        <f>' '!A58</f>
        <v>34</v>
      </c>
      <c r="B53" s="101">
        <f ca="1">' '!C58</f>
        <v>46670</v>
      </c>
      <c r="C53" s="100">
        <f ca="1">' '!D58</f>
        <v>30</v>
      </c>
      <c r="D53" s="102">
        <f>' '!H58</f>
        <v>16161.345395371342</v>
      </c>
      <c r="E53" s="102">
        <f>' '!F58</f>
        <v>8306.3422344116516</v>
      </c>
      <c r="F53" s="97">
        <f>' '!G58</f>
        <v>7855.0031609596899</v>
      </c>
      <c r="G53" s="102">
        <f>' '!O58</f>
        <v>0</v>
      </c>
      <c r="H53" s="105"/>
      <c r="I53" s="97" t="str">
        <f>' '!M58</f>
        <v/>
      </c>
      <c r="J53" s="105"/>
      <c r="K53" s="105"/>
      <c r="L53" s="105"/>
      <c r="M53" s="97" t="str">
        <f>' '!I58</f>
        <v/>
      </c>
      <c r="N53" s="98" t="str">
        <f>' '!J58</f>
        <v/>
      </c>
      <c r="O53" s="98" t="str">
        <f>' '!K58</f>
        <v xml:space="preserve"> </v>
      </c>
      <c r="P53" s="105"/>
      <c r="Q53" s="99" t="str">
        <f>' '!P58</f>
        <v/>
      </c>
      <c r="R53" s="97" t="str">
        <f>' '!Q58</f>
        <v/>
      </c>
    </row>
    <row r="54" spans="1:19" x14ac:dyDescent="0.25">
      <c r="A54" s="100">
        <f>' '!A59</f>
        <v>35</v>
      </c>
      <c r="B54" s="101">
        <f ca="1">' '!C59</f>
        <v>46701</v>
      </c>
      <c r="C54" s="100">
        <f ca="1">' '!D59</f>
        <v>31</v>
      </c>
      <c r="D54" s="102">
        <f>' '!H59</f>
        <v>16161.34539537134</v>
      </c>
      <c r="E54" s="102">
        <f>' '!F59</f>
        <v>8513.6546926788415</v>
      </c>
      <c r="F54" s="97">
        <f>' '!G59</f>
        <v>7647.6907026924991</v>
      </c>
      <c r="G54" s="102">
        <f>' '!O59</f>
        <v>0</v>
      </c>
      <c r="H54" s="105"/>
      <c r="I54" s="97" t="str">
        <f>' '!M59</f>
        <v/>
      </c>
      <c r="J54" s="105"/>
      <c r="K54" s="105"/>
      <c r="L54" s="105"/>
      <c r="M54" s="97" t="str">
        <f>' '!I59</f>
        <v/>
      </c>
      <c r="N54" s="98" t="str">
        <f>' '!J59</f>
        <v/>
      </c>
      <c r="O54" s="98" t="str">
        <f>' '!K59</f>
        <v xml:space="preserve">  </v>
      </c>
      <c r="P54" s="105"/>
      <c r="Q54" s="99" t="str">
        <f>' '!P59</f>
        <v/>
      </c>
      <c r="R54" s="97" t="str">
        <f>' '!Q59</f>
        <v/>
      </c>
    </row>
    <row r="55" spans="1:19" x14ac:dyDescent="0.25">
      <c r="A55" s="100">
        <f>' '!A60</f>
        <v>36</v>
      </c>
      <c r="B55" s="101">
        <f ca="1">' '!C60</f>
        <v>46731</v>
      </c>
      <c r="C55" s="100">
        <f ca="1">' '!D60</f>
        <v>30</v>
      </c>
      <c r="D55" s="102">
        <f>' '!H60</f>
        <v>16161.34539537134</v>
      </c>
      <c r="E55" s="102">
        <f>' '!F60</f>
        <v>8726.1413243836159</v>
      </c>
      <c r="F55" s="97">
        <f>' '!G60</f>
        <v>7435.2040709877238</v>
      </c>
      <c r="G55" s="102">
        <f>' '!O60</f>
        <v>0</v>
      </c>
      <c r="H55" s="105"/>
      <c r="I55" s="97" t="str">
        <f>' '!M60</f>
        <v/>
      </c>
      <c r="J55" s="105"/>
      <c r="K55" s="105"/>
      <c r="L55" s="105"/>
      <c r="M55" s="97" t="str">
        <f>' '!I60</f>
        <v/>
      </c>
      <c r="N55" s="98" t="str">
        <f>' '!J60</f>
        <v/>
      </c>
      <c r="O55" s="98" t="str">
        <f>' '!K60</f>
        <v xml:space="preserve"> </v>
      </c>
      <c r="P55" s="105"/>
      <c r="Q55" s="99" t="str">
        <f>' '!P60</f>
        <v/>
      </c>
      <c r="R55" s="97" t="str">
        <f>' '!Q60</f>
        <v/>
      </c>
    </row>
    <row r="56" spans="1:19" x14ac:dyDescent="0.25">
      <c r="A56" s="100">
        <f>' '!A61</f>
        <v>37</v>
      </c>
      <c r="B56" s="101">
        <f ca="1">' '!C61</f>
        <v>46762</v>
      </c>
      <c r="C56" s="100">
        <f ca="1">' '!D61</f>
        <v>31</v>
      </c>
      <c r="D56" s="102">
        <f>' '!H61</f>
        <v>16161.345395371338</v>
      </c>
      <c r="E56" s="102">
        <f>' '!F61</f>
        <v>8943.9312682713571</v>
      </c>
      <c r="F56" s="97">
        <f>' '!G61</f>
        <v>7217.4141270999808</v>
      </c>
      <c r="G56" s="102">
        <f>' '!O61</f>
        <v>0</v>
      </c>
      <c r="H56" s="105"/>
      <c r="I56" s="97" t="str">
        <f>' '!M61</f>
        <v/>
      </c>
      <c r="J56" s="105"/>
      <c r="K56" s="105"/>
      <c r="L56" s="105"/>
      <c r="M56" s="97" t="str">
        <f>' '!I61</f>
        <v/>
      </c>
      <c r="N56" s="98">
        <f>' '!J61</f>
        <v>0</v>
      </c>
      <c r="O56" s="98">
        <f>' '!K61</f>
        <v>0</v>
      </c>
      <c r="P56" s="105"/>
      <c r="Q56" s="106" t="str">
        <f>' '!P61</f>
        <v/>
      </c>
      <c r="R56" s="97" t="str">
        <f>' '!Q61</f>
        <v/>
      </c>
      <c r="S56" s="90"/>
    </row>
    <row r="57" spans="1:19" x14ac:dyDescent="0.25">
      <c r="A57" s="100">
        <f>' '!A62</f>
        <v>38</v>
      </c>
      <c r="B57" s="101">
        <f ca="1">' '!C62</f>
        <v>46793</v>
      </c>
      <c r="C57" s="100">
        <f ca="1">' '!D62</f>
        <v>31</v>
      </c>
      <c r="D57" s="102">
        <f>' '!H62</f>
        <v>16161.34539537134</v>
      </c>
      <c r="E57" s="102">
        <f>' '!F62</f>
        <v>9167.1568861752967</v>
      </c>
      <c r="F57" s="97">
        <f>' '!G62</f>
        <v>6994.188509196043</v>
      </c>
      <c r="G57" s="102">
        <f>' '!O62</f>
        <v>0</v>
      </c>
      <c r="H57" s="105"/>
      <c r="I57" s="97" t="str">
        <f>' '!M62</f>
        <v/>
      </c>
      <c r="J57" s="105"/>
      <c r="K57" s="105"/>
      <c r="L57" s="105"/>
      <c r="M57" s="97" t="str">
        <f>' '!I62</f>
        <v/>
      </c>
      <c r="N57" s="98" t="str">
        <f>' '!J62</f>
        <v/>
      </c>
      <c r="O57" s="98" t="str">
        <f>' '!K62</f>
        <v xml:space="preserve"> </v>
      </c>
      <c r="P57" s="105"/>
      <c r="Q57" s="99" t="str">
        <f>' '!P62</f>
        <v/>
      </c>
      <c r="R57" s="97" t="str">
        <f>' '!Q62</f>
        <v/>
      </c>
    </row>
    <row r="58" spans="1:19" x14ac:dyDescent="0.25">
      <c r="A58" s="100">
        <f>' '!A63</f>
        <v>39</v>
      </c>
      <c r="B58" s="101">
        <f ca="1">' '!C63</f>
        <v>46822</v>
      </c>
      <c r="C58" s="100">
        <f ca="1">' '!D63</f>
        <v>29</v>
      </c>
      <c r="D58" s="102">
        <f>' '!H63</f>
        <v>16161.345395371343</v>
      </c>
      <c r="E58" s="102">
        <f>' '!F63</f>
        <v>9395.9538434594233</v>
      </c>
      <c r="F58" s="97">
        <f>' '!G63</f>
        <v>6765.3915519119191</v>
      </c>
      <c r="G58" s="102">
        <f>' '!O63</f>
        <v>0</v>
      </c>
      <c r="H58" s="105"/>
      <c r="I58" s="97" t="str">
        <f>' '!M63</f>
        <v/>
      </c>
      <c r="J58" s="105"/>
      <c r="K58" s="105"/>
      <c r="L58" s="105"/>
      <c r="M58" s="97" t="str">
        <f>' '!I63</f>
        <v/>
      </c>
      <c r="N58" s="97" t="str">
        <f>' '!J63</f>
        <v/>
      </c>
      <c r="O58" s="97" t="str">
        <f>' '!K63</f>
        <v xml:space="preserve"> </v>
      </c>
      <c r="P58" s="105"/>
      <c r="Q58" s="99" t="str">
        <f>' '!P63</f>
        <v/>
      </c>
      <c r="R58" s="97" t="str">
        <f>' '!Q63</f>
        <v/>
      </c>
    </row>
    <row r="59" spans="1:19" x14ac:dyDescent="0.25">
      <c r="A59" s="100">
        <f>' '!A64</f>
        <v>40</v>
      </c>
      <c r="B59" s="101">
        <f ca="1">' '!C64</f>
        <v>46853</v>
      </c>
      <c r="C59" s="100">
        <f ca="1">' '!D64</f>
        <v>31</v>
      </c>
      <c r="D59" s="102">
        <f>' '!H64</f>
        <v>16161.34539537134</v>
      </c>
      <c r="E59" s="102">
        <f>' '!F64</f>
        <v>9630.4611914690977</v>
      </c>
      <c r="F59" s="97">
        <f>' '!G64</f>
        <v>6530.8842039022429</v>
      </c>
      <c r="G59" s="102">
        <f>' '!O64</f>
        <v>0</v>
      </c>
      <c r="H59" s="105"/>
      <c r="I59" s="97" t="str">
        <f>' '!M64</f>
        <v/>
      </c>
      <c r="J59" s="105"/>
      <c r="K59" s="105"/>
      <c r="L59" s="105"/>
      <c r="M59" s="97" t="str">
        <f>' '!I64</f>
        <v/>
      </c>
      <c r="N59" s="97" t="str">
        <f>' '!J64</f>
        <v/>
      </c>
      <c r="O59" s="97" t="str">
        <f>' '!K64</f>
        <v xml:space="preserve"> </v>
      </c>
      <c r="P59" s="105"/>
      <c r="Q59" s="99" t="str">
        <f>' '!P64</f>
        <v/>
      </c>
      <c r="R59" s="97" t="str">
        <f>' '!Q64</f>
        <v/>
      </c>
    </row>
    <row r="60" spans="1:19" x14ac:dyDescent="0.25">
      <c r="A60" s="100">
        <f>' '!A65</f>
        <v>41</v>
      </c>
      <c r="B60" s="101">
        <f ca="1">' '!C65</f>
        <v>46883</v>
      </c>
      <c r="C60" s="100">
        <f ca="1">' '!D65</f>
        <v>30</v>
      </c>
      <c r="D60" s="102">
        <f>' '!H65</f>
        <v>16161.34539537134</v>
      </c>
      <c r="E60" s="102">
        <f>' '!F65</f>
        <v>9870.821452039514</v>
      </c>
      <c r="F60" s="97">
        <f>' '!G65</f>
        <v>6290.5239433318266</v>
      </c>
      <c r="G60" s="102">
        <f>' '!O65</f>
        <v>0</v>
      </c>
      <c r="H60" s="105"/>
      <c r="I60" s="97" t="str">
        <f>' '!M65</f>
        <v/>
      </c>
      <c r="J60" s="105"/>
      <c r="K60" s="105"/>
      <c r="L60" s="105"/>
      <c r="M60" s="97" t="str">
        <f>' '!I65</f>
        <v/>
      </c>
      <c r="N60" s="97" t="str">
        <f>' '!J65</f>
        <v/>
      </c>
      <c r="O60" s="97" t="str">
        <f>' '!K65</f>
        <v xml:space="preserve"> </v>
      </c>
      <c r="P60" s="105"/>
      <c r="Q60" s="99" t="str">
        <f>' '!P65</f>
        <v/>
      </c>
      <c r="R60" s="97" t="str">
        <f>' '!Q65</f>
        <v/>
      </c>
    </row>
    <row r="61" spans="1:19" x14ac:dyDescent="0.25">
      <c r="A61" s="100">
        <f>' '!A66</f>
        <v>42</v>
      </c>
      <c r="B61" s="101">
        <f ca="1">' '!C66</f>
        <v>46914</v>
      </c>
      <c r="C61" s="100">
        <f ca="1">' '!D66</f>
        <v>31</v>
      </c>
      <c r="D61" s="102">
        <f>' '!H66</f>
        <v>16161.345395371342</v>
      </c>
      <c r="E61" s="102">
        <f>' '!F66</f>
        <v>10117.180704113334</v>
      </c>
      <c r="F61" s="97">
        <f>' '!G66</f>
        <v>6044.1646912580072</v>
      </c>
      <c r="G61" s="102">
        <f>' '!O66</f>
        <v>0</v>
      </c>
      <c r="H61" s="105"/>
      <c r="I61" s="97" t="str">
        <f>' '!M66</f>
        <v/>
      </c>
      <c r="J61" s="105"/>
      <c r="K61" s="105"/>
      <c r="L61" s="105"/>
      <c r="M61" s="97" t="str">
        <f>' '!I66</f>
        <v/>
      </c>
      <c r="N61" s="97" t="str">
        <f>' '!J66</f>
        <v/>
      </c>
      <c r="O61" s="97" t="str">
        <f>' '!K66</f>
        <v xml:space="preserve"> </v>
      </c>
      <c r="P61" s="105"/>
      <c r="Q61" s="99" t="str">
        <f>' '!P66</f>
        <v/>
      </c>
      <c r="R61" s="97" t="str">
        <f>' '!Q66</f>
        <v/>
      </c>
    </row>
    <row r="62" spans="1:19" x14ac:dyDescent="0.25">
      <c r="A62" s="100">
        <f>' '!A67</f>
        <v>43</v>
      </c>
      <c r="B62" s="101">
        <f ca="1">' '!C67</f>
        <v>46944</v>
      </c>
      <c r="C62" s="100">
        <f ca="1">' '!D67</f>
        <v>30</v>
      </c>
      <c r="D62" s="102">
        <f>' '!H67</f>
        <v>16161.34539537134</v>
      </c>
      <c r="E62" s="102">
        <f>' '!F67</f>
        <v>10369.68867252016</v>
      </c>
      <c r="F62" s="97">
        <f>' '!G67</f>
        <v>5791.6567228511785</v>
      </c>
      <c r="G62" s="102">
        <f>' '!O67</f>
        <v>0</v>
      </c>
      <c r="H62" s="105"/>
      <c r="I62" s="97" t="str">
        <f>' '!M67</f>
        <v/>
      </c>
      <c r="J62" s="105"/>
      <c r="K62" s="105"/>
      <c r="L62" s="105"/>
      <c r="M62" s="97" t="str">
        <f>' '!I67</f>
        <v/>
      </c>
      <c r="N62" s="97" t="str">
        <f>' '!J67</f>
        <v/>
      </c>
      <c r="O62" s="97" t="str">
        <f>' '!K67</f>
        <v xml:space="preserve"> </v>
      </c>
      <c r="P62" s="105"/>
      <c r="Q62" s="99" t="str">
        <f>' '!P67</f>
        <v/>
      </c>
      <c r="R62" s="97" t="str">
        <f>' '!Q67</f>
        <v/>
      </c>
    </row>
    <row r="63" spans="1:19" x14ac:dyDescent="0.25">
      <c r="A63" s="100">
        <f>' '!A68</f>
        <v>44</v>
      </c>
      <c r="B63" s="101">
        <f ca="1">' '!C68</f>
        <v>46975</v>
      </c>
      <c r="C63" s="100">
        <f ca="1">' '!D68</f>
        <v>31</v>
      </c>
      <c r="D63" s="102">
        <f>' '!H68</f>
        <v>16161.34539537134</v>
      </c>
      <c r="E63" s="102">
        <f>' '!F68</f>
        <v>10628.498818971811</v>
      </c>
      <c r="F63" s="97">
        <f>' '!G68</f>
        <v>5532.8465763995291</v>
      </c>
      <c r="G63" s="102">
        <f>' '!O68</f>
        <v>0</v>
      </c>
      <c r="H63" s="105"/>
      <c r="I63" s="97" t="str">
        <f>' '!M68</f>
        <v/>
      </c>
      <c r="J63" s="105"/>
      <c r="K63" s="105"/>
      <c r="L63" s="105"/>
      <c r="M63" s="97" t="str">
        <f>' '!I68</f>
        <v/>
      </c>
      <c r="N63" s="97" t="str">
        <f>' '!J68</f>
        <v/>
      </c>
      <c r="O63" s="97" t="str">
        <f>' '!K68</f>
        <v xml:space="preserve"> </v>
      </c>
      <c r="P63" s="105"/>
      <c r="Q63" s="99" t="str">
        <f>' '!P68</f>
        <v/>
      </c>
      <c r="R63" s="97" t="str">
        <f>' '!Q68</f>
        <v/>
      </c>
    </row>
    <row r="64" spans="1:19" x14ac:dyDescent="0.25">
      <c r="A64" s="100">
        <f>' '!A69</f>
        <v>45</v>
      </c>
      <c r="B64" s="101">
        <f ca="1">' '!C69</f>
        <v>47006</v>
      </c>
      <c r="C64" s="100">
        <f ca="1">' '!D69</f>
        <v>31</v>
      </c>
      <c r="D64" s="102">
        <f>' '!H69</f>
        <v>16161.34539537134</v>
      </c>
      <c r="E64" s="102">
        <f>' '!F69</f>
        <v>10893.76843532865</v>
      </c>
      <c r="F64" s="97">
        <f>' '!G69</f>
        <v>5267.5769600426911</v>
      </c>
      <c r="G64" s="102">
        <f>' '!O69</f>
        <v>0</v>
      </c>
      <c r="H64" s="105"/>
      <c r="I64" s="97" t="str">
        <f>' '!M69</f>
        <v/>
      </c>
      <c r="J64" s="105"/>
      <c r="K64" s="105"/>
      <c r="L64" s="105"/>
      <c r="M64" s="97" t="str">
        <f>' '!I69</f>
        <v/>
      </c>
      <c r="N64" s="97" t="str">
        <f>' '!J69</f>
        <v/>
      </c>
      <c r="O64" s="97" t="str">
        <f>' '!K69</f>
        <v xml:space="preserve"> </v>
      </c>
      <c r="P64" s="105"/>
      <c r="Q64" s="99" t="str">
        <f>' '!P69</f>
        <v/>
      </c>
      <c r="R64" s="97" t="str">
        <f>' '!Q69</f>
        <v/>
      </c>
    </row>
    <row r="65" spans="1:18" x14ac:dyDescent="0.25">
      <c r="A65" s="100">
        <f>' '!A70</f>
        <v>46</v>
      </c>
      <c r="B65" s="101">
        <f ca="1">' '!C70</f>
        <v>47036</v>
      </c>
      <c r="C65" s="100">
        <f ca="1">' '!D70</f>
        <v>30</v>
      </c>
      <c r="D65" s="102">
        <f>' '!H70</f>
        <v>16161.34539537134</v>
      </c>
      <c r="E65" s="102">
        <f>' '!F70</f>
        <v>11165.658739193726</v>
      </c>
      <c r="F65" s="97">
        <f>' '!G70</f>
        <v>4995.6866561776133</v>
      </c>
      <c r="G65" s="102">
        <f>' '!O70</f>
        <v>0</v>
      </c>
      <c r="H65" s="105"/>
      <c r="I65" s="97" t="str">
        <f>' '!M70</f>
        <v/>
      </c>
      <c r="J65" s="105"/>
      <c r="K65" s="105"/>
      <c r="L65" s="105"/>
      <c r="M65" s="97" t="str">
        <f>' '!I70</f>
        <v/>
      </c>
      <c r="N65" s="97" t="str">
        <f>' '!J70</f>
        <v/>
      </c>
      <c r="O65" s="97" t="str">
        <f>' '!K70</f>
        <v xml:space="preserve"> </v>
      </c>
      <c r="P65" s="105"/>
      <c r="Q65" s="99" t="str">
        <f>' '!P70</f>
        <v/>
      </c>
      <c r="R65" s="97" t="str">
        <f>' '!Q70</f>
        <v/>
      </c>
    </row>
    <row r="66" spans="1:18" x14ac:dyDescent="0.25">
      <c r="A66" s="100">
        <f>' '!A71</f>
        <v>47</v>
      </c>
      <c r="B66" s="101">
        <f ca="1">' '!C71</f>
        <v>47067</v>
      </c>
      <c r="C66" s="100">
        <f ca="1">' '!D71</f>
        <v>31</v>
      </c>
      <c r="D66" s="102">
        <f>' '!H71</f>
        <v>16161.34539537134</v>
      </c>
      <c r="E66" s="102">
        <f>' '!F71</f>
        <v>11444.334971892769</v>
      </c>
      <c r="F66" s="97">
        <f>' '!G71</f>
        <v>4717.0104234785704</v>
      </c>
      <c r="G66" s="102">
        <f>' '!O71</f>
        <v>0</v>
      </c>
      <c r="H66" s="105"/>
      <c r="I66" s="97" t="str">
        <f>' '!M71</f>
        <v/>
      </c>
      <c r="J66" s="105"/>
      <c r="K66" s="105"/>
      <c r="L66" s="105"/>
      <c r="M66" s="97" t="str">
        <f>' '!I71</f>
        <v/>
      </c>
      <c r="N66" s="97" t="str">
        <f>' '!J71</f>
        <v/>
      </c>
      <c r="O66" s="97" t="str">
        <f>' '!K71</f>
        <v xml:space="preserve"> </v>
      </c>
      <c r="P66" s="105"/>
      <c r="Q66" s="99" t="str">
        <f>' '!P71</f>
        <v/>
      </c>
      <c r="R66" s="97" t="str">
        <f>' '!Q71</f>
        <v/>
      </c>
    </row>
    <row r="67" spans="1:18" x14ac:dyDescent="0.25">
      <c r="A67" s="100">
        <f>' '!A72</f>
        <v>48</v>
      </c>
      <c r="B67" s="101">
        <f ca="1">' '!C72</f>
        <v>47097</v>
      </c>
      <c r="C67" s="100">
        <f ca="1">' '!D72</f>
        <v>30</v>
      </c>
      <c r="D67" s="102">
        <f>' '!H72</f>
        <v>16161.34539537134</v>
      </c>
      <c r="E67" s="102">
        <f>' '!F72</f>
        <v>11729.966498899594</v>
      </c>
      <c r="F67" s="97">
        <f>' '!G72</f>
        <v>4431.378896471746</v>
      </c>
      <c r="G67" s="102">
        <f>' '!O72</f>
        <v>0</v>
      </c>
      <c r="H67" s="105"/>
      <c r="I67" s="97" t="str">
        <f>' '!M72</f>
        <v/>
      </c>
      <c r="J67" s="105"/>
      <c r="K67" s="105"/>
      <c r="L67" s="105"/>
      <c r="M67" s="97" t="str">
        <f>' '!I72</f>
        <v/>
      </c>
      <c r="N67" s="97" t="str">
        <f>' '!J72</f>
        <v/>
      </c>
      <c r="O67" s="97" t="str">
        <f>' '!K72</f>
        <v xml:space="preserve"> </v>
      </c>
      <c r="P67" s="105"/>
      <c r="Q67" s="99" t="str">
        <f>' '!P72</f>
        <v/>
      </c>
      <c r="R67" s="97" t="str">
        <f>' '!Q72</f>
        <v/>
      </c>
    </row>
    <row r="68" spans="1:18" x14ac:dyDescent="0.25">
      <c r="A68" s="100">
        <f>' '!A73</f>
        <v>49</v>
      </c>
      <c r="B68" s="101">
        <f ca="1">' '!C73</f>
        <v>47128</v>
      </c>
      <c r="C68" s="100">
        <f ca="1">' '!D73</f>
        <v>31</v>
      </c>
      <c r="D68" s="102">
        <f>' '!H73</f>
        <v>16161.34539537134</v>
      </c>
      <c r="E68" s="102">
        <f>' '!F73</f>
        <v>12022.726912767963</v>
      </c>
      <c r="F68" s="97">
        <f>' '!G73</f>
        <v>4138.6184826033777</v>
      </c>
      <c r="G68" s="102">
        <f>' '!O73</f>
        <v>0</v>
      </c>
      <c r="H68" s="105"/>
      <c r="I68" s="97" t="str">
        <f>' '!M73</f>
        <v/>
      </c>
      <c r="J68" s="105"/>
      <c r="K68" s="105"/>
      <c r="L68" s="105"/>
      <c r="M68" s="97" t="str">
        <f>' '!I73</f>
        <v/>
      </c>
      <c r="N68" s="98">
        <f>' '!J73</f>
        <v>0</v>
      </c>
      <c r="O68" s="98">
        <f>' '!K73</f>
        <v>0</v>
      </c>
      <c r="P68" s="105"/>
      <c r="Q68" s="99" t="str">
        <f>' '!P73</f>
        <v/>
      </c>
      <c r="R68" s="97" t="str">
        <f>' '!Q73</f>
        <v/>
      </c>
    </row>
    <row r="69" spans="1:18" x14ac:dyDescent="0.25">
      <c r="A69" s="100">
        <f>' '!A74</f>
        <v>50</v>
      </c>
      <c r="B69" s="101">
        <f ca="1">' '!C74</f>
        <v>47159</v>
      </c>
      <c r="C69" s="100">
        <f ca="1">' '!D74</f>
        <v>31</v>
      </c>
      <c r="D69" s="102">
        <f>' '!H74</f>
        <v>16161.34539537134</v>
      </c>
      <c r="E69" s="102">
        <f>' '!F74</f>
        <v>12322.794138632462</v>
      </c>
      <c r="F69" s="97">
        <f>' '!G74</f>
        <v>3838.5512567388769</v>
      </c>
      <c r="G69" s="102">
        <f>' '!O74</f>
        <v>0</v>
      </c>
      <c r="H69" s="105"/>
      <c r="I69" s="97" t="str">
        <f>' '!M74</f>
        <v/>
      </c>
      <c r="J69" s="105"/>
      <c r="K69" s="105"/>
      <c r="L69" s="105"/>
      <c r="M69" s="97" t="str">
        <f>' '!I74</f>
        <v/>
      </c>
      <c r="N69" s="97" t="str">
        <f>' '!J74</f>
        <v/>
      </c>
      <c r="O69" s="97" t="str">
        <f>' '!K74</f>
        <v xml:space="preserve"> </v>
      </c>
      <c r="P69" s="105"/>
      <c r="Q69" s="99" t="str">
        <f>' '!P74</f>
        <v/>
      </c>
      <c r="R69" s="97" t="str">
        <f>' '!Q74</f>
        <v/>
      </c>
    </row>
    <row r="70" spans="1:18" x14ac:dyDescent="0.25">
      <c r="A70" s="100">
        <f>' '!A75</f>
        <v>51</v>
      </c>
      <c r="B70" s="101">
        <f ca="1">' '!C75</f>
        <v>47187</v>
      </c>
      <c r="C70" s="100">
        <f ca="1">' '!D75</f>
        <v>28</v>
      </c>
      <c r="D70" s="102">
        <f>' '!H75</f>
        <v>16161.34539537134</v>
      </c>
      <c r="E70" s="102">
        <f>' '!F75</f>
        <v>12630.350542342498</v>
      </c>
      <c r="F70" s="97">
        <f>' '!G75</f>
        <v>3530.994853028842</v>
      </c>
      <c r="G70" s="102">
        <f>' '!O75</f>
        <v>0</v>
      </c>
      <c r="H70" s="105"/>
      <c r="I70" s="97" t="str">
        <f>' '!M75</f>
        <v/>
      </c>
      <c r="J70" s="105"/>
      <c r="K70" s="105"/>
      <c r="L70" s="105"/>
      <c r="M70" s="97" t="str">
        <f>' '!I75</f>
        <v/>
      </c>
      <c r="N70" s="97" t="str">
        <f>' '!J75</f>
        <v/>
      </c>
      <c r="O70" s="97" t="str">
        <f>' '!K75</f>
        <v xml:space="preserve"> </v>
      </c>
      <c r="P70" s="105"/>
      <c r="Q70" s="99" t="str">
        <f>' '!P75</f>
        <v/>
      </c>
      <c r="R70" s="97" t="str">
        <f>' '!Q75</f>
        <v/>
      </c>
    </row>
    <row r="71" spans="1:18" x14ac:dyDescent="0.25">
      <c r="A71" s="100">
        <f>' '!A76</f>
        <v>52</v>
      </c>
      <c r="B71" s="101">
        <f ca="1">' '!C76</f>
        <v>47218</v>
      </c>
      <c r="C71" s="100">
        <f ca="1">' '!D76</f>
        <v>31</v>
      </c>
      <c r="D71" s="102">
        <f>' '!H76</f>
        <v>16161.345395371342</v>
      </c>
      <c r="E71" s="102">
        <f>' '!F76</f>
        <v>12945.583041295131</v>
      </c>
      <c r="F71" s="97">
        <f>' '!G76</f>
        <v>3215.7623540762102</v>
      </c>
      <c r="G71" s="102">
        <f>' '!O76</f>
        <v>0</v>
      </c>
      <c r="H71" s="105"/>
      <c r="I71" s="97" t="str">
        <f>' '!M76</f>
        <v/>
      </c>
      <c r="J71" s="105"/>
      <c r="K71" s="105"/>
      <c r="L71" s="105"/>
      <c r="M71" s="97" t="str">
        <f>' '!I76</f>
        <v/>
      </c>
      <c r="N71" s="97" t="str">
        <f>' '!J76</f>
        <v/>
      </c>
      <c r="O71" s="97" t="str">
        <f>' '!K76</f>
        <v xml:space="preserve"> </v>
      </c>
      <c r="P71" s="105"/>
      <c r="Q71" s="99" t="str">
        <f>' '!P76</f>
        <v/>
      </c>
      <c r="R71" s="97" t="str">
        <f>' '!Q76</f>
        <v/>
      </c>
    </row>
    <row r="72" spans="1:18" x14ac:dyDescent="0.25">
      <c r="A72" s="100">
        <f>' '!A77</f>
        <v>53</v>
      </c>
      <c r="B72" s="101">
        <f ca="1">' '!C77</f>
        <v>47248</v>
      </c>
      <c r="C72" s="100">
        <f ca="1">' '!D77</f>
        <v>30</v>
      </c>
      <c r="D72" s="102">
        <f>' '!H77</f>
        <v>16161.34539537134</v>
      </c>
      <c r="E72" s="102">
        <f>' '!F77</f>
        <v>13268.683218034121</v>
      </c>
      <c r="F72" s="97">
        <f>' '!G77</f>
        <v>2892.6621773372194</v>
      </c>
      <c r="G72" s="102">
        <f>' '!O77</f>
        <v>0</v>
      </c>
      <c r="H72" s="105"/>
      <c r="I72" s="97" t="str">
        <f>' '!M77</f>
        <v/>
      </c>
      <c r="J72" s="105"/>
      <c r="K72" s="105"/>
      <c r="L72" s="105"/>
      <c r="M72" s="97" t="str">
        <f>' '!I77</f>
        <v/>
      </c>
      <c r="N72" s="97" t="str">
        <f>' '!J77</f>
        <v/>
      </c>
      <c r="O72" s="97" t="str">
        <f>' '!K77</f>
        <v xml:space="preserve"> </v>
      </c>
      <c r="P72" s="105"/>
      <c r="Q72" s="99" t="str">
        <f>' '!P77</f>
        <v/>
      </c>
      <c r="R72" s="97" t="str">
        <f>' '!Q77</f>
        <v/>
      </c>
    </row>
    <row r="73" spans="1:18" x14ac:dyDescent="0.25">
      <c r="A73" s="100">
        <f>' '!A78</f>
        <v>54</v>
      </c>
      <c r="B73" s="101">
        <f ca="1">' '!C78</f>
        <v>47279</v>
      </c>
      <c r="C73" s="100">
        <f ca="1">' '!D78</f>
        <v>31</v>
      </c>
      <c r="D73" s="102">
        <f>' '!H78</f>
        <v>16161.34539537134</v>
      </c>
      <c r="E73" s="102">
        <f>' '!F78</f>
        <v>13599.847436684222</v>
      </c>
      <c r="F73" s="97">
        <f>' '!G78</f>
        <v>2561.4979586871177</v>
      </c>
      <c r="G73" s="102">
        <f>' '!O78</f>
        <v>0</v>
      </c>
      <c r="H73" s="105"/>
      <c r="I73" s="97" t="str">
        <f>' '!M78</f>
        <v/>
      </c>
      <c r="J73" s="105"/>
      <c r="K73" s="105"/>
      <c r="L73" s="105"/>
      <c r="M73" s="97" t="str">
        <f>' '!I78</f>
        <v/>
      </c>
      <c r="N73" s="97" t="str">
        <f>' '!J78</f>
        <v/>
      </c>
      <c r="O73" s="97" t="str">
        <f>' '!K78</f>
        <v xml:space="preserve"> </v>
      </c>
      <c r="P73" s="105"/>
      <c r="Q73" s="99" t="str">
        <f>' '!P78</f>
        <v/>
      </c>
      <c r="R73" s="97" t="str">
        <f>' '!Q78</f>
        <v/>
      </c>
    </row>
    <row r="74" spans="1:18" x14ac:dyDescent="0.25">
      <c r="A74" s="100">
        <f>' '!A79</f>
        <v>55</v>
      </c>
      <c r="B74" s="101">
        <f ca="1">' '!C79</f>
        <v>47309</v>
      </c>
      <c r="C74" s="100">
        <f ca="1">' '!D79</f>
        <v>30</v>
      </c>
      <c r="D74" s="102">
        <f>' '!H79</f>
        <v>16161.345395371342</v>
      </c>
      <c r="E74" s="102">
        <f>' '!F79</f>
        <v>13939.276962291467</v>
      </c>
      <c r="F74" s="97">
        <f>' '!G79</f>
        <v>2222.0684330798745</v>
      </c>
      <c r="G74" s="102">
        <f>' '!O79</f>
        <v>0</v>
      </c>
      <c r="H74" s="105"/>
      <c r="I74" s="97" t="str">
        <f>' '!M79</f>
        <v/>
      </c>
      <c r="J74" s="105"/>
      <c r="K74" s="105"/>
      <c r="L74" s="105"/>
      <c r="M74" s="97" t="str">
        <f>' '!I79</f>
        <v/>
      </c>
      <c r="N74" s="97" t="str">
        <f>' '!J79</f>
        <v/>
      </c>
      <c r="O74" s="97" t="str">
        <f>' '!K79</f>
        <v xml:space="preserve"> </v>
      </c>
      <c r="P74" s="105"/>
      <c r="Q74" s="99" t="str">
        <f>' '!P79</f>
        <v/>
      </c>
      <c r="R74" s="97" t="str">
        <f>' '!Q79</f>
        <v/>
      </c>
    </row>
    <row r="75" spans="1:18" x14ac:dyDescent="0.25">
      <c r="A75" s="100">
        <f>' '!A80</f>
        <v>56</v>
      </c>
      <c r="B75" s="101">
        <f ca="1">' '!C80</f>
        <v>47340</v>
      </c>
      <c r="C75" s="100">
        <f ca="1">' '!D80</f>
        <v>31</v>
      </c>
      <c r="D75" s="102">
        <f>' '!H80</f>
        <v>16161.34539537134</v>
      </c>
      <c r="E75" s="102">
        <f>' '!F80</f>
        <v>14287.178083141991</v>
      </c>
      <c r="F75" s="97">
        <f>' '!G80</f>
        <v>1874.1673122293496</v>
      </c>
      <c r="G75" s="102">
        <f>' '!O80</f>
        <v>0</v>
      </c>
      <c r="H75" s="105"/>
      <c r="I75" s="97" t="str">
        <f>' '!M80</f>
        <v/>
      </c>
      <c r="J75" s="105"/>
      <c r="K75" s="105"/>
      <c r="L75" s="105"/>
      <c r="M75" s="97" t="str">
        <f>' '!I80</f>
        <v/>
      </c>
      <c r="N75" s="97" t="str">
        <f>' '!J80</f>
        <v/>
      </c>
      <c r="O75" s="97" t="str">
        <f>' '!K80</f>
        <v xml:space="preserve"> </v>
      </c>
      <c r="P75" s="105"/>
      <c r="Q75" s="99" t="str">
        <f>' '!P80</f>
        <v/>
      </c>
      <c r="R75" s="97" t="str">
        <f>' '!Q80</f>
        <v/>
      </c>
    </row>
    <row r="76" spans="1:18" x14ac:dyDescent="0.25">
      <c r="A76" s="100">
        <f>' '!A81</f>
        <v>57</v>
      </c>
      <c r="B76" s="101">
        <f ca="1">' '!C81</f>
        <v>47371</v>
      </c>
      <c r="C76" s="100">
        <f ca="1">' '!D81</f>
        <v>31</v>
      </c>
      <c r="D76" s="102">
        <f>' '!H81</f>
        <v>16161.34539537134</v>
      </c>
      <c r="E76" s="102">
        <f>' '!F81</f>
        <v>14643.762236133742</v>
      </c>
      <c r="F76" s="97">
        <f>' '!G81</f>
        <v>1517.5831592375973</v>
      </c>
      <c r="G76" s="102">
        <f>' '!O81</f>
        <v>0</v>
      </c>
      <c r="H76" s="105"/>
      <c r="I76" s="97" t="str">
        <f>' '!M81</f>
        <v/>
      </c>
      <c r="J76" s="105"/>
      <c r="K76" s="105"/>
      <c r="L76" s="105"/>
      <c r="M76" s="97" t="str">
        <f>' '!I81</f>
        <v/>
      </c>
      <c r="N76" s="97" t="str">
        <f>' '!J81</f>
        <v/>
      </c>
      <c r="O76" s="97" t="str">
        <f>' '!K81</f>
        <v xml:space="preserve"> </v>
      </c>
      <c r="P76" s="105"/>
      <c r="Q76" s="99" t="str">
        <f>' '!P81</f>
        <v/>
      </c>
      <c r="R76" s="97" t="str">
        <f>' '!Q81</f>
        <v/>
      </c>
    </row>
    <row r="77" spans="1:18" x14ac:dyDescent="0.25">
      <c r="A77" s="100">
        <f>' '!A82</f>
        <v>58</v>
      </c>
      <c r="B77" s="101">
        <f ca="1">' '!C82</f>
        <v>47401</v>
      </c>
      <c r="C77" s="100">
        <f ca="1">' '!D82</f>
        <v>30</v>
      </c>
      <c r="D77" s="102">
        <f>' '!H82</f>
        <v>16161.345395371342</v>
      </c>
      <c r="E77" s="102">
        <f>' '!F82</f>
        <v>15009.246135277248</v>
      </c>
      <c r="F77" s="97">
        <f>' '!G82</f>
        <v>1152.0992600940929</v>
      </c>
      <c r="G77" s="102">
        <f>' '!O82</f>
        <v>0</v>
      </c>
      <c r="H77" s="105"/>
      <c r="I77" s="97" t="str">
        <f>' '!M82</f>
        <v/>
      </c>
      <c r="J77" s="105"/>
      <c r="K77" s="105"/>
      <c r="L77" s="105"/>
      <c r="M77" s="97" t="str">
        <f>' '!I82</f>
        <v/>
      </c>
      <c r="N77" s="97" t="str">
        <f>' '!J82</f>
        <v/>
      </c>
      <c r="O77" s="97" t="str">
        <f>' '!K82</f>
        <v xml:space="preserve"> </v>
      </c>
      <c r="P77" s="105"/>
      <c r="Q77" s="99" t="str">
        <f>' '!P82</f>
        <v/>
      </c>
      <c r="R77" s="97" t="str">
        <f>' '!Q82</f>
        <v/>
      </c>
    </row>
    <row r="78" spans="1:18" x14ac:dyDescent="0.25">
      <c r="A78" s="100">
        <f>' '!A83</f>
        <v>59</v>
      </c>
      <c r="B78" s="101">
        <f ca="1">' '!C83</f>
        <v>47432</v>
      </c>
      <c r="C78" s="100">
        <f ca="1">' '!D83</f>
        <v>31</v>
      </c>
      <c r="D78" s="102">
        <f>' '!H83</f>
        <v>16161.34539537134</v>
      </c>
      <c r="E78" s="102">
        <f>' '!F83</f>
        <v>15383.851903403542</v>
      </c>
      <c r="F78" s="97">
        <f>' '!G83</f>
        <v>777.49349196779804</v>
      </c>
      <c r="G78" s="102">
        <f>' '!O83</f>
        <v>0</v>
      </c>
      <c r="H78" s="105"/>
      <c r="I78" s="97" t="str">
        <f>' '!M83</f>
        <v/>
      </c>
      <c r="J78" s="105"/>
      <c r="K78" s="105"/>
      <c r="L78" s="105"/>
      <c r="M78" s="97" t="str">
        <f>' '!I83</f>
        <v/>
      </c>
      <c r="N78" s="97" t="str">
        <f>' '!J83</f>
        <v/>
      </c>
      <c r="O78" s="97" t="str">
        <f>' '!K83</f>
        <v xml:space="preserve"> </v>
      </c>
      <c r="P78" s="105"/>
      <c r="Q78" s="99" t="str">
        <f>' '!P83</f>
        <v/>
      </c>
      <c r="R78" s="97" t="str">
        <f>' '!Q83</f>
        <v/>
      </c>
    </row>
    <row r="79" spans="1:18" x14ac:dyDescent="0.25">
      <c r="A79" s="100">
        <f>' '!A84</f>
        <v>60</v>
      </c>
      <c r="B79" s="101">
        <f ca="1">' '!C84</f>
        <v>47462</v>
      </c>
      <c r="C79" s="100">
        <f ca="1">' '!D84</f>
        <v>30</v>
      </c>
      <c r="D79" s="102">
        <f>' '!H84</f>
        <v>16161.345395371343</v>
      </c>
      <c r="E79" s="102">
        <f>' '!F84</f>
        <v>15767.807207159325</v>
      </c>
      <c r="F79" s="97">
        <f>' '!G84</f>
        <v>393.5381882120181</v>
      </c>
      <c r="G79" s="102">
        <f>' '!O84</f>
        <v>0</v>
      </c>
      <c r="H79" s="105"/>
      <c r="I79" s="97" t="str">
        <f>' '!M84</f>
        <v/>
      </c>
      <c r="J79" s="105"/>
      <c r="K79" s="105"/>
      <c r="L79" s="105"/>
      <c r="M79" s="97" t="str">
        <f>' '!I84</f>
        <v/>
      </c>
      <c r="N79" s="97" t="str">
        <f>' '!J84</f>
        <v/>
      </c>
      <c r="O79" s="97" t="str">
        <f>' '!K84</f>
        <v xml:space="preserve"> </v>
      </c>
      <c r="P79" s="105"/>
      <c r="Q79" s="99" t="str">
        <f>' '!P84</f>
        <v/>
      </c>
      <c r="R79" s="97" t="str">
        <f>' '!Q84</f>
        <v/>
      </c>
    </row>
    <row r="80" spans="1:18" x14ac:dyDescent="0.25">
      <c r="A80" s="100" t="str">
        <f>' '!A85</f>
        <v/>
      </c>
      <c r="B80" s="101" t="str">
        <f>' '!B85</f>
        <v/>
      </c>
      <c r="C80" s="100" t="str">
        <f>' '!D85</f>
        <v/>
      </c>
      <c r="D80" s="102">
        <f>' '!H85</f>
        <v>969680.72372227954</v>
      </c>
      <c r="E80" s="102">
        <f>' '!F85</f>
        <v>500000.00000000006</v>
      </c>
      <c r="F80" s="97">
        <f>' '!G85</f>
        <v>469680.72372228047</v>
      </c>
      <c r="G80" s="102">
        <f>' '!O85</f>
        <v>0</v>
      </c>
      <c r="H80" s="105"/>
      <c r="I80" s="97">
        <f>' '!M85</f>
        <v>14750</v>
      </c>
      <c r="J80" s="105"/>
      <c r="K80" s="105"/>
      <c r="L80" s="105"/>
      <c r="M80" s="97">
        <f>' '!I85</f>
        <v>0</v>
      </c>
      <c r="N80" s="97">
        <f>' '!J85</f>
        <v>0</v>
      </c>
      <c r="O80" s="97">
        <f>' '!K85</f>
        <v>0</v>
      </c>
      <c r="P80" s="105"/>
      <c r="Q80" s="99">
        <f ca="1">' '!P85</f>
        <v>0.36705784201622005</v>
      </c>
      <c r="R80" s="97">
        <f>' '!Q85</f>
        <v>984430.72372228047</v>
      </c>
    </row>
    <row r="81" spans="1:18" x14ac:dyDescent="0.25">
      <c r="A81" s="85" t="str">
        <f>' '!A86</f>
        <v/>
      </c>
      <c r="D81" s="86" t="str">
        <f>' '!H86</f>
        <v/>
      </c>
    </row>
    <row r="82" spans="1:18" ht="15.75" customHeight="1" x14ac:dyDescent="0.25">
      <c r="A82" s="199" t="s">
        <v>161</v>
      </c>
      <c r="B82" s="200"/>
      <c r="C82" s="200"/>
      <c r="D82" s="200"/>
      <c r="E82" s="200"/>
      <c r="F82" s="200"/>
      <c r="G82" s="200"/>
      <c r="H82" s="200"/>
      <c r="I82" s="200"/>
      <c r="J82" s="200"/>
      <c r="K82" s="200"/>
      <c r="L82" s="200"/>
      <c r="M82" s="200"/>
      <c r="N82" s="200"/>
      <c r="O82" s="200"/>
      <c r="P82" s="200"/>
      <c r="Q82" s="200"/>
      <c r="R82" s="201"/>
    </row>
    <row r="83" spans="1:18" ht="15.75" customHeight="1" x14ac:dyDescent="0.25">
      <c r="A83" s="202"/>
      <c r="B83" s="203"/>
      <c r="C83" s="203"/>
      <c r="D83" s="203"/>
      <c r="E83" s="203"/>
      <c r="F83" s="203"/>
      <c r="G83" s="203"/>
      <c r="H83" s="203"/>
      <c r="I83" s="203"/>
      <c r="J83" s="203"/>
      <c r="K83" s="203"/>
      <c r="L83" s="203"/>
      <c r="M83" s="203"/>
      <c r="N83" s="203"/>
      <c r="O83" s="203"/>
      <c r="P83" s="203"/>
      <c r="Q83" s="203"/>
      <c r="R83" s="204"/>
    </row>
    <row r="84" spans="1:18" ht="15" customHeight="1" x14ac:dyDescent="0.25">
      <c r="A84" s="202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4"/>
    </row>
    <row r="85" spans="1:18" ht="15" customHeight="1" x14ac:dyDescent="0.25">
      <c r="A85" s="205"/>
      <c r="B85" s="206"/>
      <c r="C85" s="206"/>
      <c r="D85" s="206"/>
      <c r="E85" s="206"/>
      <c r="F85" s="206"/>
      <c r="G85" s="206"/>
      <c r="H85" s="206"/>
      <c r="I85" s="206"/>
      <c r="J85" s="206"/>
      <c r="K85" s="206"/>
      <c r="L85" s="206"/>
      <c r="M85" s="206"/>
      <c r="N85" s="206"/>
      <c r="O85" s="206"/>
      <c r="P85" s="206"/>
      <c r="Q85" s="206"/>
      <c r="R85" s="207"/>
    </row>
    <row r="86" spans="1:18" ht="15" customHeight="1" x14ac:dyDescent="0.25"/>
  </sheetData>
  <sheetProtection algorithmName="SHA-512" hashValue="oD/3eSvgslchiywrGms+gDXkjbA5S/oExGuLBI1KINohvim+7BwIv2tTTpkkxR1em5CYWvri+VEq0vqhAj5BCQ==" saltValue="pr8mcwZxJ+huft0zqhRe7w==" spinCount="100000" sheet="1" objects="1" scenarios="1"/>
  <protectedRanges>
    <protectedRange password="CC39" sqref="C7:C8" name="Диапазон1"/>
  </protectedRanges>
  <mergeCells count="28">
    <mergeCell ref="A11:B11"/>
    <mergeCell ref="A6:B6"/>
    <mergeCell ref="A9:B9"/>
    <mergeCell ref="A10:B10"/>
    <mergeCell ref="A7:B7"/>
    <mergeCell ref="A8:B8"/>
    <mergeCell ref="Q14:Q17"/>
    <mergeCell ref="A14:A17"/>
    <mergeCell ref="B14:B17"/>
    <mergeCell ref="C14:C17"/>
    <mergeCell ref="D14:D17"/>
    <mergeCell ref="E14:P14"/>
    <mergeCell ref="A82:R85"/>
    <mergeCell ref="A3:H3"/>
    <mergeCell ref="A13:R13"/>
    <mergeCell ref="E6:G6"/>
    <mergeCell ref="E7:G7"/>
    <mergeCell ref="E8:G8"/>
    <mergeCell ref="E9:G9"/>
    <mergeCell ref="E10:G10"/>
    <mergeCell ref="E11:G11"/>
    <mergeCell ref="R14:R17"/>
    <mergeCell ref="E15:E17"/>
    <mergeCell ref="F15:F17"/>
    <mergeCell ref="G15:P15"/>
    <mergeCell ref="G16:J16"/>
    <mergeCell ref="K16:L16"/>
    <mergeCell ref="M16:P16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0000000}">
          <x14:formula1>
            <xm:f>Лист1!$A$1:$A$5</xm:f>
          </x14:formula1>
          <xm:sqref>C8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F79F-D5D8-4FA8-A6F8-6579503172B7}">
  <dimension ref="A1:S87"/>
  <sheetViews>
    <sheetView topLeftCell="A2" zoomScale="70" zoomScaleNormal="70" workbookViewId="0">
      <selection activeCell="Z28" sqref="Z28"/>
    </sheetView>
  </sheetViews>
  <sheetFormatPr defaultRowHeight="15" x14ac:dyDescent="0.25"/>
  <cols>
    <col min="1" max="1" width="11" customWidth="1"/>
    <col min="2" max="2" width="21" customWidth="1"/>
    <col min="3" max="3" width="15.42578125" customWidth="1"/>
    <col min="4" max="4" width="14.85546875" customWidth="1"/>
    <col min="5" max="5" width="14.5703125" customWidth="1"/>
    <col min="6" max="6" width="15.42578125" customWidth="1"/>
    <col min="7" max="7" width="18.28515625" customWidth="1"/>
    <col min="8" max="8" width="15" customWidth="1"/>
    <col min="9" max="9" width="10.85546875" customWidth="1"/>
    <col min="10" max="10" width="8.5703125" customWidth="1"/>
    <col min="11" max="11" width="10.5703125" customWidth="1"/>
    <col min="12" max="12" width="12.42578125" customWidth="1"/>
    <col min="13" max="13" width="9.28515625" customWidth="1"/>
    <col min="14" max="14" width="9.85546875" customWidth="1"/>
    <col min="15" max="15" width="10.85546875" customWidth="1"/>
    <col min="16" max="16" width="10.42578125" customWidth="1"/>
    <col min="17" max="17" width="10.28515625" customWidth="1"/>
    <col min="18" max="18" width="15" customWidth="1"/>
  </cols>
  <sheetData>
    <row r="1" spans="1:18" ht="27" hidden="1" customHeight="1" x14ac:dyDescent="0.25">
      <c r="D1" s="88" t="s">
        <v>146</v>
      </c>
    </row>
    <row r="2" spans="1:18" ht="27" customHeight="1" x14ac:dyDescent="0.25">
      <c r="D2" s="88"/>
    </row>
    <row r="3" spans="1:18" ht="15.75" x14ac:dyDescent="0.25">
      <c r="A3" s="208" t="s">
        <v>156</v>
      </c>
      <c r="B3" s="209"/>
      <c r="C3" s="209"/>
      <c r="D3" s="209"/>
      <c r="E3" s="209"/>
      <c r="F3" s="209"/>
      <c r="G3" s="209"/>
      <c r="H3" s="210"/>
    </row>
    <row r="4" spans="1:18" ht="15.75" x14ac:dyDescent="0.25">
      <c r="A4" s="93"/>
      <c r="B4" s="94"/>
      <c r="C4" s="93"/>
      <c r="D4" s="93"/>
      <c r="E4" s="95"/>
      <c r="F4" s="93"/>
      <c r="G4" s="93"/>
    </row>
    <row r="5" spans="1:18" ht="16.5" thickBot="1" x14ac:dyDescent="0.3">
      <c r="A5" s="93"/>
      <c r="B5" s="94"/>
      <c r="C5" s="93"/>
      <c r="D5" s="93"/>
      <c r="E5" s="95"/>
      <c r="F5" s="93"/>
      <c r="G5" s="93"/>
    </row>
    <row r="6" spans="1:18" ht="15.75" x14ac:dyDescent="0.25">
      <c r="A6" s="217" t="s">
        <v>105</v>
      </c>
      <c r="B6" s="218"/>
      <c r="C6" s="121">
        <f ca="1">TODAY()</f>
        <v>45639</v>
      </c>
      <c r="E6" s="229" t="s">
        <v>157</v>
      </c>
      <c r="F6" s="230"/>
      <c r="G6" s="230"/>
      <c r="H6" s="118">
        <v>0.29949999999999999</v>
      </c>
    </row>
    <row r="7" spans="1:18" ht="18" customHeight="1" x14ac:dyDescent="0.25">
      <c r="A7" s="219" t="s">
        <v>40</v>
      </c>
      <c r="B7" s="220"/>
      <c r="C7" s="122">
        <v>500000</v>
      </c>
      <c r="D7" s="91" t="str">
        <f>IF(C7&lt;5000,"Мін. сума кредиту - 5 тис грн",IF(C7&gt;500000,"Максимальна сума кредиту 500000 грн"," "))</f>
        <v xml:space="preserve"> </v>
      </c>
      <c r="E7" s="231" t="s">
        <v>158</v>
      </c>
      <c r="F7" s="232"/>
      <c r="G7" s="232"/>
      <c r="H7" s="125">
        <v>0.5595</v>
      </c>
    </row>
    <row r="8" spans="1:18" ht="15.75" x14ac:dyDescent="0.25">
      <c r="A8" s="223" t="s">
        <v>160</v>
      </c>
      <c r="B8" s="224"/>
      <c r="C8" s="123">
        <v>60</v>
      </c>
      <c r="D8" s="89"/>
      <c r="E8" s="226" t="s">
        <v>155</v>
      </c>
      <c r="F8" s="227"/>
      <c r="G8" s="228"/>
      <c r="H8" s="120">
        <f>I20</f>
        <v>14750</v>
      </c>
    </row>
    <row r="9" spans="1:18" ht="15.75" x14ac:dyDescent="0.25">
      <c r="A9" s="219" t="s">
        <v>159</v>
      </c>
      <c r="B9" s="220"/>
      <c r="C9" s="119">
        <v>0.29949999999999999</v>
      </c>
      <c r="E9" s="225"/>
      <c r="F9" s="225"/>
      <c r="G9" s="225"/>
      <c r="H9" s="115">
        <f>R81</f>
        <v>1495789.1119060311</v>
      </c>
    </row>
    <row r="10" spans="1:18" ht="26.1" customHeight="1" x14ac:dyDescent="0.25">
      <c r="A10" s="221" t="s">
        <v>153</v>
      </c>
      <c r="B10" s="222"/>
      <c r="C10" s="119">
        <v>0</v>
      </c>
      <c r="E10" s="225"/>
      <c r="F10" s="225"/>
      <c r="G10" s="225"/>
      <c r="H10" s="115"/>
    </row>
    <row r="11" spans="1:18" ht="16.5" thickBot="1" x14ac:dyDescent="0.3">
      <c r="A11" s="215" t="s">
        <v>154</v>
      </c>
      <c r="B11" s="216"/>
      <c r="C11" s="124">
        <v>2.9499999999999998E-2</v>
      </c>
      <c r="E11" s="225"/>
      <c r="F11" s="225"/>
      <c r="G11" s="225"/>
      <c r="H11" s="114"/>
    </row>
    <row r="12" spans="1:18" ht="15.75" x14ac:dyDescent="0.25">
      <c r="A12" s="107"/>
      <c r="B12" s="107"/>
      <c r="C12" s="108"/>
      <c r="E12" s="109"/>
      <c r="F12" s="109"/>
      <c r="G12" s="109"/>
      <c r="H12" s="110"/>
    </row>
    <row r="13" spans="1:18" ht="15.75" x14ac:dyDescent="0.25">
      <c r="A13" s="107"/>
      <c r="B13" s="107"/>
      <c r="C13" s="108"/>
      <c r="E13" s="109"/>
      <c r="F13" s="109"/>
      <c r="G13" s="109"/>
      <c r="H13" s="110"/>
    </row>
    <row r="14" spans="1:18" ht="31.5" customHeight="1" x14ac:dyDescent="0.25">
      <c r="A14" s="211" t="s">
        <v>162</v>
      </c>
      <c r="B14" s="211"/>
      <c r="C14" s="211"/>
      <c r="D14" s="211"/>
      <c r="E14" s="211"/>
      <c r="F14" s="211"/>
      <c r="G14" s="211"/>
      <c r="H14" s="211"/>
      <c r="I14" s="211"/>
      <c r="J14" s="211"/>
      <c r="K14" s="211"/>
      <c r="L14" s="211"/>
      <c r="M14" s="211"/>
      <c r="N14" s="211"/>
      <c r="O14" s="211"/>
      <c r="P14" s="211"/>
      <c r="Q14" s="211"/>
      <c r="R14" s="211"/>
    </row>
    <row r="15" spans="1:18" x14ac:dyDescent="0.25">
      <c r="A15" s="214" t="s">
        <v>123</v>
      </c>
      <c r="B15" s="214" t="s">
        <v>124</v>
      </c>
      <c r="C15" s="214" t="s">
        <v>125</v>
      </c>
      <c r="D15" s="214" t="s">
        <v>126</v>
      </c>
      <c r="E15" s="214" t="s">
        <v>127</v>
      </c>
      <c r="F15" s="214"/>
      <c r="G15" s="214"/>
      <c r="H15" s="214"/>
      <c r="I15" s="214"/>
      <c r="J15" s="214"/>
      <c r="K15" s="214"/>
      <c r="L15" s="214"/>
      <c r="M15" s="214"/>
      <c r="N15" s="214"/>
      <c r="O15" s="214"/>
      <c r="P15" s="214"/>
      <c r="Q15" s="214" t="s">
        <v>61</v>
      </c>
      <c r="R15" s="214" t="s">
        <v>54</v>
      </c>
    </row>
    <row r="16" spans="1:18" ht="15.75" customHeight="1" x14ac:dyDescent="0.25">
      <c r="A16" s="214"/>
      <c r="B16" s="214"/>
      <c r="C16" s="214"/>
      <c r="D16" s="214"/>
      <c r="E16" s="214" t="s">
        <v>128</v>
      </c>
      <c r="F16" s="214" t="s">
        <v>129</v>
      </c>
      <c r="G16" s="214" t="s">
        <v>130</v>
      </c>
      <c r="H16" s="214"/>
      <c r="I16" s="214"/>
      <c r="J16" s="214"/>
      <c r="K16" s="214"/>
      <c r="L16" s="214"/>
      <c r="M16" s="214"/>
      <c r="N16" s="214"/>
      <c r="O16" s="214"/>
      <c r="P16" s="214"/>
      <c r="Q16" s="214"/>
      <c r="R16" s="214"/>
    </row>
    <row r="17" spans="1:18" ht="23.25" customHeight="1" x14ac:dyDescent="0.25">
      <c r="A17" s="214"/>
      <c r="B17" s="214"/>
      <c r="C17" s="214"/>
      <c r="D17" s="214"/>
      <c r="E17" s="214"/>
      <c r="F17" s="214"/>
      <c r="G17" s="214" t="s">
        <v>131</v>
      </c>
      <c r="H17" s="214"/>
      <c r="I17" s="214"/>
      <c r="J17" s="214"/>
      <c r="K17" s="214" t="s">
        <v>141</v>
      </c>
      <c r="L17" s="214"/>
      <c r="M17" s="214" t="s">
        <v>132</v>
      </c>
      <c r="N17" s="214"/>
      <c r="O17" s="214"/>
      <c r="P17" s="214"/>
      <c r="Q17" s="214"/>
      <c r="R17" s="214"/>
    </row>
    <row r="18" spans="1:18" ht="60" x14ac:dyDescent="0.25">
      <c r="A18" s="214"/>
      <c r="B18" s="214"/>
      <c r="C18" s="214"/>
      <c r="D18" s="214"/>
      <c r="E18" s="214"/>
      <c r="F18" s="214"/>
      <c r="G18" s="92" t="s">
        <v>133</v>
      </c>
      <c r="H18" s="92" t="s">
        <v>134</v>
      </c>
      <c r="I18" s="92" t="s">
        <v>135</v>
      </c>
      <c r="J18" s="92" t="s">
        <v>143</v>
      </c>
      <c r="K18" s="92" t="s">
        <v>136</v>
      </c>
      <c r="L18" s="92" t="s">
        <v>140</v>
      </c>
      <c r="M18" s="92" t="s">
        <v>137</v>
      </c>
      <c r="N18" s="92" t="s">
        <v>138</v>
      </c>
      <c r="O18" s="92" t="s">
        <v>139</v>
      </c>
      <c r="P18" s="92" t="s">
        <v>142</v>
      </c>
      <c r="Q18" s="214"/>
      <c r="R18" s="214"/>
    </row>
    <row r="19" spans="1:18" x14ac:dyDescent="0.25">
      <c r="A19" s="92">
        <v>1</v>
      </c>
      <c r="B19" s="92">
        <v>2</v>
      </c>
      <c r="C19" s="92">
        <v>3</v>
      </c>
      <c r="D19" s="92">
        <v>4</v>
      </c>
      <c r="E19" s="92">
        <v>5</v>
      </c>
      <c r="F19" s="92">
        <v>6</v>
      </c>
      <c r="G19" s="92">
        <v>7</v>
      </c>
      <c r="H19" s="92">
        <v>8</v>
      </c>
      <c r="I19" s="92">
        <v>9</v>
      </c>
      <c r="J19" s="92">
        <v>10</v>
      </c>
      <c r="K19" s="92">
        <v>11</v>
      </c>
      <c r="L19" s="92">
        <v>12</v>
      </c>
      <c r="M19" s="92">
        <v>13</v>
      </c>
      <c r="N19" s="92">
        <v>14</v>
      </c>
      <c r="O19" s="92">
        <v>15</v>
      </c>
      <c r="P19" s="92">
        <v>16</v>
      </c>
      <c r="Q19" s="92">
        <v>17</v>
      </c>
      <c r="R19" s="92">
        <v>18</v>
      </c>
    </row>
    <row r="20" spans="1:18" x14ac:dyDescent="0.25">
      <c r="A20" s="96">
        <f>' '!A24</f>
        <v>0</v>
      </c>
      <c r="B20" s="92"/>
      <c r="C20" s="92"/>
      <c r="D20" s="111">
        <f>'  (2)'!I24</f>
        <v>-485250</v>
      </c>
      <c r="E20" s="112"/>
      <c r="F20" s="112"/>
      <c r="G20" s="112"/>
      <c r="H20" s="92"/>
      <c r="I20" s="97">
        <f>'  (2)'!N24</f>
        <v>14750</v>
      </c>
      <c r="J20" s="92"/>
      <c r="K20" s="92"/>
      <c r="L20" s="92"/>
      <c r="M20" s="98">
        <f>' '!I24</f>
        <v>0</v>
      </c>
      <c r="N20" s="98">
        <f>' '!J24</f>
        <v>0</v>
      </c>
      <c r="O20" s="98">
        <f>' '!K24</f>
        <v>0</v>
      </c>
      <c r="P20" s="92"/>
      <c r="Q20" s="99" t="str">
        <f>'  (2)'!Q24</f>
        <v xml:space="preserve"> </v>
      </c>
      <c r="R20" s="97" t="str">
        <f>'  (2)'!R24</f>
        <v xml:space="preserve"> </v>
      </c>
    </row>
    <row r="21" spans="1:18" x14ac:dyDescent="0.25">
      <c r="A21" s="100">
        <f>'  (2)'!B25</f>
        <v>1</v>
      </c>
      <c r="B21" s="101">
        <f ca="1">'  (2)'!D25</f>
        <v>45667</v>
      </c>
      <c r="C21" s="100">
        <f ca="1">'  (2)'!E25</f>
        <v>28</v>
      </c>
      <c r="D21" s="111">
        <f>'  (2)'!I25</f>
        <v>16161.34539537134</v>
      </c>
      <c r="E21" s="113">
        <f>'  (2)'!G25</f>
        <v>3682.1787287046741</v>
      </c>
      <c r="F21" s="111">
        <f>'  (2)'!H25</f>
        <v>12479.166666666666</v>
      </c>
      <c r="G21" s="113">
        <f>'  (2)'!P25</f>
        <v>0</v>
      </c>
      <c r="H21" s="103"/>
      <c r="I21" s="97" t="str">
        <f>'  (2)'!N25</f>
        <v xml:space="preserve"> </v>
      </c>
      <c r="J21" s="103"/>
      <c r="K21" s="103"/>
      <c r="L21" s="103"/>
      <c r="M21" s="98" t="str">
        <f>' '!I25</f>
        <v xml:space="preserve"> </v>
      </c>
      <c r="N21" s="98" t="str">
        <f>' '!J25</f>
        <v xml:space="preserve"> </v>
      </c>
      <c r="O21" s="97" t="str">
        <f>' '!K25</f>
        <v xml:space="preserve"> </v>
      </c>
      <c r="P21" s="103"/>
      <c r="Q21" s="99" t="str">
        <f>'  (2)'!Q25</f>
        <v/>
      </c>
      <c r="R21" s="97" t="str">
        <f>'  (2)'!R25</f>
        <v xml:space="preserve"> </v>
      </c>
    </row>
    <row r="22" spans="1:18" x14ac:dyDescent="0.25">
      <c r="A22" s="100">
        <f>'  (2)'!B26</f>
        <v>2</v>
      </c>
      <c r="B22" s="101">
        <f ca="1">'  (2)'!D26</f>
        <v>45698</v>
      </c>
      <c r="C22" s="100">
        <f ca="1">'  (2)'!E26</f>
        <v>31</v>
      </c>
      <c r="D22" s="111">
        <f>'  (2)'!I26</f>
        <v>24828.436720519658</v>
      </c>
      <c r="E22" s="113">
        <f>'  (2)'!G26</f>
        <v>1687.6183037455153</v>
      </c>
      <c r="F22" s="111">
        <f>'  (2)'!H26</f>
        <v>23140.818416774142</v>
      </c>
      <c r="G22" s="113">
        <f>'  (2)'!P26</f>
        <v>0</v>
      </c>
      <c r="H22" s="103"/>
      <c r="I22" s="97" t="str">
        <f>'  (2)'!N26</f>
        <v xml:space="preserve"> </v>
      </c>
      <c r="J22" s="103"/>
      <c r="K22" s="103"/>
      <c r="L22" s="103"/>
      <c r="M22" s="98" t="str">
        <f>' '!I26</f>
        <v xml:space="preserve"> </v>
      </c>
      <c r="N22" s="98">
        <f>' '!J26</f>
        <v>0</v>
      </c>
      <c r="O22" s="97" t="str">
        <f>' '!K26</f>
        <v xml:space="preserve"> </v>
      </c>
      <c r="P22" s="103"/>
      <c r="Q22" s="99" t="str">
        <f>'  (2)'!Q26</f>
        <v/>
      </c>
      <c r="R22" s="97" t="str">
        <f>'  (2)'!R26</f>
        <v xml:space="preserve"> </v>
      </c>
    </row>
    <row r="23" spans="1:18" x14ac:dyDescent="0.25">
      <c r="A23" s="100">
        <f>'  (2)'!B27</f>
        <v>3</v>
      </c>
      <c r="B23" s="101">
        <f ca="1">'  (2)'!D27</f>
        <v>45726</v>
      </c>
      <c r="C23" s="100">
        <f ca="1">'  (2)'!E27</f>
        <v>28</v>
      </c>
      <c r="D23" s="111">
        <f>'  (2)'!I27</f>
        <v>24828.436720519658</v>
      </c>
      <c r="E23" s="113">
        <f>'  (2)'!G27</f>
        <v>1766.3035071576498</v>
      </c>
      <c r="F23" s="111">
        <f>'  (2)'!H27</f>
        <v>23062.133213362009</v>
      </c>
      <c r="G23" s="113">
        <f>'  (2)'!P27</f>
        <v>0</v>
      </c>
      <c r="H23" s="103"/>
      <c r="I23" s="97" t="str">
        <f>'  (2)'!N27</f>
        <v xml:space="preserve"> </v>
      </c>
      <c r="J23" s="103"/>
      <c r="K23" s="103"/>
      <c r="L23" s="103"/>
      <c r="M23" s="98" t="str">
        <f>' '!I27</f>
        <v xml:space="preserve"> </v>
      </c>
      <c r="N23" s="98">
        <f>' '!J27</f>
        <v>0</v>
      </c>
      <c r="O23" s="97" t="str">
        <f>' '!K27</f>
        <v xml:space="preserve"> </v>
      </c>
      <c r="P23" s="103"/>
      <c r="Q23" s="99" t="str">
        <f>'  (2)'!Q27</f>
        <v/>
      </c>
      <c r="R23" s="97" t="str">
        <f>'  (2)'!R27</f>
        <v/>
      </c>
    </row>
    <row r="24" spans="1:18" x14ac:dyDescent="0.25">
      <c r="A24" s="100">
        <f>'  (2)'!B28</f>
        <v>4</v>
      </c>
      <c r="B24" s="101">
        <f ca="1">'  (2)'!D28</f>
        <v>45757</v>
      </c>
      <c r="C24" s="100">
        <f ca="1">'  (2)'!E28</f>
        <v>31</v>
      </c>
      <c r="D24" s="111">
        <f>'  (2)'!I28</f>
        <v>24828.436720519658</v>
      </c>
      <c r="E24" s="113">
        <f>'  (2)'!G28</f>
        <v>1848.6574081788756</v>
      </c>
      <c r="F24" s="111">
        <f>'  (2)'!H28</f>
        <v>22979.779312340783</v>
      </c>
      <c r="G24" s="113">
        <f>'  (2)'!P28</f>
        <v>0</v>
      </c>
      <c r="H24" s="103"/>
      <c r="I24" s="97" t="str">
        <f>'  (2)'!N28</f>
        <v xml:space="preserve"> </v>
      </c>
      <c r="J24" s="103"/>
      <c r="K24" s="103"/>
      <c r="L24" s="103"/>
      <c r="M24" s="98" t="str">
        <f>' '!I28</f>
        <v xml:space="preserve"> </v>
      </c>
      <c r="N24" s="98">
        <f>' '!J28</f>
        <v>0</v>
      </c>
      <c r="O24" s="97" t="str">
        <f>' '!K28</f>
        <v xml:space="preserve"> </v>
      </c>
      <c r="P24" s="103"/>
      <c r="Q24" s="99" t="str">
        <f>'  (2)'!Q28</f>
        <v/>
      </c>
      <c r="R24" s="97" t="str">
        <f>'  (2)'!R28</f>
        <v/>
      </c>
    </row>
    <row r="25" spans="1:18" x14ac:dyDescent="0.25">
      <c r="A25" s="100">
        <f>'  (2)'!B29</f>
        <v>5</v>
      </c>
      <c r="B25" s="101">
        <f ca="1">'  (2)'!D29</f>
        <v>45787</v>
      </c>
      <c r="C25" s="100">
        <f ca="1">'  (2)'!E29</f>
        <v>30</v>
      </c>
      <c r="D25" s="111">
        <f>'  (2)'!I29</f>
        <v>24828.436720519658</v>
      </c>
      <c r="E25" s="113">
        <f>'  (2)'!G29</f>
        <v>1934.8510598352154</v>
      </c>
      <c r="F25" s="111">
        <f>'  (2)'!H29</f>
        <v>22893.585660684443</v>
      </c>
      <c r="G25" s="113">
        <f>'  (2)'!P29</f>
        <v>0</v>
      </c>
      <c r="H25" s="103"/>
      <c r="I25" s="97" t="str">
        <f>'  (2)'!N29</f>
        <v xml:space="preserve"> </v>
      </c>
      <c r="J25" s="103"/>
      <c r="K25" s="103"/>
      <c r="L25" s="103"/>
      <c r="M25" s="97" t="str">
        <f>' '!I29</f>
        <v/>
      </c>
      <c r="N25" s="97" t="str">
        <f>' '!J29</f>
        <v/>
      </c>
      <c r="O25" s="97" t="str">
        <f>' '!K29</f>
        <v xml:space="preserve"> </v>
      </c>
      <c r="P25" s="103"/>
      <c r="Q25" s="99" t="str">
        <f>'  (2)'!Q29</f>
        <v/>
      </c>
      <c r="R25" s="97" t="str">
        <f>'  (2)'!R29</f>
        <v/>
      </c>
    </row>
    <row r="26" spans="1:18" x14ac:dyDescent="0.25">
      <c r="A26" s="100">
        <f>'  (2)'!B30</f>
        <v>6</v>
      </c>
      <c r="B26" s="101">
        <f ca="1">'  (2)'!D30</f>
        <v>45818</v>
      </c>
      <c r="C26" s="100">
        <f ca="1">'  (2)'!E30</f>
        <v>31</v>
      </c>
      <c r="D26" s="111">
        <f>'  (2)'!I30</f>
        <v>24828.436720519658</v>
      </c>
      <c r="E26" s="113">
        <f>'  (2)'!G30</f>
        <v>2025.0634905000325</v>
      </c>
      <c r="F26" s="111">
        <f>'  (2)'!H30</f>
        <v>22803.373230019624</v>
      </c>
      <c r="G26" s="113">
        <f>'  (2)'!P30</f>
        <v>0</v>
      </c>
      <c r="H26" s="103"/>
      <c r="I26" s="97" t="str">
        <f>'  (2)'!N30</f>
        <v/>
      </c>
      <c r="J26" s="103"/>
      <c r="K26" s="103"/>
      <c r="L26" s="103"/>
      <c r="M26" s="97" t="str">
        <f>' '!I30</f>
        <v/>
      </c>
      <c r="N26" s="97" t="str">
        <f>' '!J30</f>
        <v/>
      </c>
      <c r="O26" s="97" t="str">
        <f>' '!K30</f>
        <v xml:space="preserve"> </v>
      </c>
      <c r="P26" s="103"/>
      <c r="Q26" s="99" t="str">
        <f>'  (2)'!Q30</f>
        <v/>
      </c>
      <c r="R26" s="97" t="str">
        <f>'  (2)'!R30</f>
        <v/>
      </c>
    </row>
    <row r="27" spans="1:18" x14ac:dyDescent="0.25">
      <c r="A27" s="100">
        <f>'  (2)'!B31</f>
        <v>7</v>
      </c>
      <c r="B27" s="101">
        <f ca="1">'  (2)'!D31</f>
        <v>45848</v>
      </c>
      <c r="C27" s="100">
        <f ca="1">'  (2)'!E31</f>
        <v>30</v>
      </c>
      <c r="D27" s="111">
        <f>'  (2)'!I31</f>
        <v>24828.436720519658</v>
      </c>
      <c r="E27" s="113">
        <f>'  (2)'!G31</f>
        <v>2119.4820757445964</v>
      </c>
      <c r="F27" s="111">
        <f>'  (2)'!H31</f>
        <v>22708.954644775062</v>
      </c>
      <c r="G27" s="113">
        <f>'  (2)'!P31</f>
        <v>0</v>
      </c>
      <c r="H27" s="103"/>
      <c r="I27" s="97" t="str">
        <f>'  (2)'!N31</f>
        <v/>
      </c>
      <c r="J27" s="103"/>
      <c r="K27" s="103"/>
      <c r="L27" s="103"/>
      <c r="M27" s="97" t="str">
        <f>' '!I31</f>
        <v/>
      </c>
      <c r="N27" s="97" t="str">
        <f>' '!J31</f>
        <v/>
      </c>
      <c r="O27" s="97" t="str">
        <f>' '!K31</f>
        <v xml:space="preserve"> </v>
      </c>
      <c r="P27" s="103"/>
      <c r="Q27" s="99" t="str">
        <f>'  (2)'!Q31</f>
        <v/>
      </c>
      <c r="R27" s="97" t="str">
        <f>'  (2)'!R31</f>
        <v/>
      </c>
    </row>
    <row r="28" spans="1:18" x14ac:dyDescent="0.25">
      <c r="A28" s="100">
        <f>'  (2)'!B32</f>
        <v>8</v>
      </c>
      <c r="B28" s="101">
        <f ca="1">'  (2)'!D32</f>
        <v>45879</v>
      </c>
      <c r="C28" s="100">
        <f ca="1">'  (2)'!E32</f>
        <v>31</v>
      </c>
      <c r="D28" s="111">
        <f>'  (2)'!I32</f>
        <v>24828.436720519658</v>
      </c>
      <c r="E28" s="113">
        <f>'  (2)'!G32</f>
        <v>2218.3029275261874</v>
      </c>
      <c r="F28" s="111">
        <f>'  (2)'!H32</f>
        <v>22610.133792993471</v>
      </c>
      <c r="G28" s="113">
        <f>'  (2)'!P32</f>
        <v>0</v>
      </c>
      <c r="H28" s="105"/>
      <c r="I28" s="97" t="str">
        <f>'  (2)'!N32</f>
        <v/>
      </c>
      <c r="J28" s="105"/>
      <c r="K28" s="105"/>
      <c r="L28" s="105"/>
      <c r="M28" s="97" t="str">
        <f>' '!I32</f>
        <v/>
      </c>
      <c r="N28" s="97" t="str">
        <f>' '!J32</f>
        <v/>
      </c>
      <c r="O28" s="97" t="str">
        <f>' '!K32</f>
        <v xml:space="preserve"> </v>
      </c>
      <c r="P28" s="105"/>
      <c r="Q28" s="99" t="str">
        <f>'  (2)'!Q32</f>
        <v/>
      </c>
      <c r="R28" s="97" t="str">
        <f>'  (2)'!R32</f>
        <v/>
      </c>
    </row>
    <row r="29" spans="1:18" x14ac:dyDescent="0.25">
      <c r="A29" s="100">
        <f>'  (2)'!B33</f>
        <v>9</v>
      </c>
      <c r="B29" s="101">
        <f ca="1">'  (2)'!D33</f>
        <v>45910</v>
      </c>
      <c r="C29" s="100">
        <f ca="1">'  (2)'!E33</f>
        <v>31</v>
      </c>
      <c r="D29" s="111">
        <f>'  (2)'!I33</f>
        <v>24828.436720519658</v>
      </c>
      <c r="E29" s="113">
        <f>'  (2)'!G33</f>
        <v>2321.7313015220957</v>
      </c>
      <c r="F29" s="111">
        <f>'  (2)'!H33</f>
        <v>22506.705418997561</v>
      </c>
      <c r="G29" s="113">
        <f>'  (2)'!P33</f>
        <v>0</v>
      </c>
      <c r="H29" s="105"/>
      <c r="I29" s="97" t="str">
        <f>'  (2)'!N33</f>
        <v/>
      </c>
      <c r="J29" s="105"/>
      <c r="K29" s="105"/>
      <c r="L29" s="105"/>
      <c r="M29" s="97" t="str">
        <f>' '!I33</f>
        <v/>
      </c>
      <c r="N29" s="97" t="str">
        <f>' '!J33</f>
        <v/>
      </c>
      <c r="O29" s="97" t="str">
        <f>' '!K33</f>
        <v xml:space="preserve"> </v>
      </c>
      <c r="P29" s="105"/>
      <c r="Q29" s="99" t="str">
        <f>'  (2)'!Q33</f>
        <v/>
      </c>
      <c r="R29" s="97" t="str">
        <f>'  (2)'!R33</f>
        <v/>
      </c>
    </row>
    <row r="30" spans="1:18" x14ac:dyDescent="0.25">
      <c r="A30" s="100">
        <f>'  (2)'!B34</f>
        <v>10</v>
      </c>
      <c r="B30" s="101">
        <f ca="1">'  (2)'!D34</f>
        <v>45940</v>
      </c>
      <c r="C30" s="100">
        <f ca="1">'  (2)'!E34</f>
        <v>30</v>
      </c>
      <c r="D30" s="111">
        <f>'  (2)'!I34</f>
        <v>24828.436720519658</v>
      </c>
      <c r="E30" s="113">
        <f>'  (2)'!G34</f>
        <v>2429.9820234555636</v>
      </c>
      <c r="F30" s="111">
        <f>'  (2)'!H34</f>
        <v>22398.454697064095</v>
      </c>
      <c r="G30" s="113">
        <f>'  (2)'!P34</f>
        <v>0</v>
      </c>
      <c r="H30" s="105"/>
      <c r="I30" s="97" t="str">
        <f>'  (2)'!N34</f>
        <v/>
      </c>
      <c r="J30" s="105"/>
      <c r="K30" s="105"/>
      <c r="L30" s="105"/>
      <c r="M30" s="97" t="str">
        <f>' '!I34</f>
        <v/>
      </c>
      <c r="N30" s="97" t="str">
        <f>' '!J34</f>
        <v/>
      </c>
      <c r="O30" s="97" t="str">
        <f>' '!K34</f>
        <v xml:space="preserve"> </v>
      </c>
      <c r="P30" s="105"/>
      <c r="Q30" s="99" t="str">
        <f>'  (2)'!Q34</f>
        <v/>
      </c>
      <c r="R30" s="97" t="str">
        <f>'  (2)'!R34</f>
        <v/>
      </c>
    </row>
    <row r="31" spans="1:18" x14ac:dyDescent="0.25">
      <c r="A31" s="100">
        <f>'  (2)'!B35</f>
        <v>11</v>
      </c>
      <c r="B31" s="101">
        <f ca="1">'  (2)'!D35</f>
        <v>45971</v>
      </c>
      <c r="C31" s="100">
        <f ca="1">'  (2)'!E35</f>
        <v>31</v>
      </c>
      <c r="D31" s="111">
        <f>'  (2)'!I35</f>
        <v>24828.436720519658</v>
      </c>
      <c r="E31" s="113">
        <f>'  (2)'!G35</f>
        <v>2543.2799352991797</v>
      </c>
      <c r="F31" s="111">
        <f>'  (2)'!H35</f>
        <v>22285.156785220479</v>
      </c>
      <c r="G31" s="113">
        <f>'  (2)'!P35</f>
        <v>0</v>
      </c>
      <c r="H31" s="105"/>
      <c r="I31" s="97" t="str">
        <f>'  (2)'!N35</f>
        <v/>
      </c>
      <c r="J31" s="105"/>
      <c r="K31" s="105"/>
      <c r="L31" s="105"/>
      <c r="M31" s="97" t="str">
        <f>' '!I35</f>
        <v/>
      </c>
      <c r="N31" s="97" t="str">
        <f>' '!J35</f>
        <v/>
      </c>
      <c r="O31" s="97" t="str">
        <f>' '!K35</f>
        <v xml:space="preserve"> </v>
      </c>
      <c r="P31" s="105"/>
      <c r="Q31" s="99" t="str">
        <f>'  (2)'!Q35</f>
        <v/>
      </c>
      <c r="R31" s="97" t="str">
        <f>'  (2)'!R35</f>
        <v/>
      </c>
    </row>
    <row r="32" spans="1:18" x14ac:dyDescent="0.25">
      <c r="A32" s="100">
        <f>'  (2)'!B36</f>
        <v>12</v>
      </c>
      <c r="B32" s="101">
        <f ca="1">'  (2)'!D36</f>
        <v>46001</v>
      </c>
      <c r="C32" s="100">
        <f ca="1">'  (2)'!E36</f>
        <v>30</v>
      </c>
      <c r="D32" s="111">
        <f>'  (2)'!I36</f>
        <v>24828.436720519658</v>
      </c>
      <c r="E32" s="113">
        <f>'  (2)'!G36</f>
        <v>2661.860362282504</v>
      </c>
      <c r="F32" s="111">
        <f>'  (2)'!H36</f>
        <v>22166.576358237155</v>
      </c>
      <c r="G32" s="113">
        <f>'  (2)'!P36</f>
        <v>0</v>
      </c>
      <c r="H32" s="105"/>
      <c r="I32" s="97" t="str">
        <f>'  (2)'!N36</f>
        <v/>
      </c>
      <c r="J32" s="105"/>
      <c r="K32" s="105"/>
      <c r="L32" s="105"/>
      <c r="M32" s="97" t="str">
        <f>' '!I36</f>
        <v/>
      </c>
      <c r="N32" s="97" t="str">
        <f>' '!J36</f>
        <v/>
      </c>
      <c r="O32" s="97" t="str">
        <f>' '!K36</f>
        <v xml:space="preserve"> </v>
      </c>
      <c r="P32" s="105"/>
      <c r="Q32" s="99" t="str">
        <f>'  (2)'!Q36</f>
        <v/>
      </c>
      <c r="R32" s="97" t="str">
        <f>'  (2)'!R36</f>
        <v/>
      </c>
    </row>
    <row r="33" spans="1:19" x14ac:dyDescent="0.25">
      <c r="A33" s="100">
        <f>'  (2)'!B37</f>
        <v>13</v>
      </c>
      <c r="B33" s="101">
        <f ca="1">'  (2)'!D37</f>
        <v>46032</v>
      </c>
      <c r="C33" s="100">
        <f ca="1">'  (2)'!E37</f>
        <v>31</v>
      </c>
      <c r="D33" s="111">
        <f>'  (2)'!I37</f>
        <v>24828.436720519658</v>
      </c>
      <c r="E33" s="113">
        <f>'  (2)'!G37</f>
        <v>2785.9696016739254</v>
      </c>
      <c r="F33" s="111">
        <f>'  (2)'!H37</f>
        <v>22042.467118845732</v>
      </c>
      <c r="G33" s="113">
        <f>'  (2)'!P37</f>
        <v>0</v>
      </c>
      <c r="H33" s="105"/>
      <c r="I33" s="97" t="str">
        <f>'  (2)'!N37</f>
        <v/>
      </c>
      <c r="J33" s="105"/>
      <c r="K33" s="105"/>
      <c r="L33" s="105"/>
      <c r="M33" s="97" t="str">
        <f>' '!I37</f>
        <v/>
      </c>
      <c r="N33" s="98">
        <f>' '!J37</f>
        <v>0</v>
      </c>
      <c r="O33" s="98">
        <f>' '!K37</f>
        <v>0</v>
      </c>
      <c r="P33" s="105"/>
      <c r="Q33" s="99" t="str">
        <f>'  (2)'!Q37</f>
        <v/>
      </c>
      <c r="R33" s="97" t="str">
        <f>'  (2)'!R37</f>
        <v/>
      </c>
      <c r="S33" s="90"/>
    </row>
    <row r="34" spans="1:19" x14ac:dyDescent="0.25">
      <c r="A34" s="100">
        <f>'  (2)'!B38</f>
        <v>14</v>
      </c>
      <c r="B34" s="101">
        <f ca="1">'  (2)'!D38</f>
        <v>46063</v>
      </c>
      <c r="C34" s="100">
        <f ca="1">'  (2)'!E38</f>
        <v>31</v>
      </c>
      <c r="D34" s="111">
        <f>'  (2)'!I38</f>
        <v>24828.436720519658</v>
      </c>
      <c r="E34" s="113">
        <f>'  (2)'!G38</f>
        <v>2915.8654343519725</v>
      </c>
      <c r="F34" s="111">
        <f>'  (2)'!H38</f>
        <v>21912.571286167684</v>
      </c>
      <c r="G34" s="113">
        <f>'  (2)'!P38</f>
        <v>0</v>
      </c>
      <c r="H34" s="105"/>
      <c r="I34" s="97" t="str">
        <f>'  (2)'!N38</f>
        <v/>
      </c>
      <c r="J34" s="105"/>
      <c r="K34" s="105"/>
      <c r="L34" s="105"/>
      <c r="M34" s="97" t="str">
        <f>' '!I38</f>
        <v/>
      </c>
      <c r="N34" s="98" t="str">
        <f>' '!J38</f>
        <v/>
      </c>
      <c r="O34" s="98" t="str">
        <f>' '!K38</f>
        <v xml:space="preserve"> </v>
      </c>
      <c r="P34" s="105"/>
      <c r="Q34" s="99" t="str">
        <f>'  (2)'!Q38</f>
        <v/>
      </c>
      <c r="R34" s="97" t="str">
        <f>'  (2)'!R38</f>
        <v/>
      </c>
    </row>
    <row r="35" spans="1:19" x14ac:dyDescent="0.25">
      <c r="A35" s="100">
        <f>'  (2)'!B39</f>
        <v>15</v>
      </c>
      <c r="B35" s="101">
        <f ca="1">'  (2)'!D39</f>
        <v>46091</v>
      </c>
      <c r="C35" s="100">
        <f ca="1">'  (2)'!E39</f>
        <v>28</v>
      </c>
      <c r="D35" s="111">
        <f>'  (2)'!I39</f>
        <v>24828.436720519658</v>
      </c>
      <c r="E35" s="113">
        <f>'  (2)'!G39</f>
        <v>3051.817660228633</v>
      </c>
      <c r="F35" s="111">
        <f>'  (2)'!H39</f>
        <v>21776.619060291025</v>
      </c>
      <c r="G35" s="113">
        <f>'  (2)'!P39</f>
        <v>0</v>
      </c>
      <c r="H35" s="105"/>
      <c r="I35" s="97" t="str">
        <f>'  (2)'!N39</f>
        <v/>
      </c>
      <c r="J35" s="105"/>
      <c r="K35" s="105"/>
      <c r="L35" s="105"/>
      <c r="M35" s="97" t="str">
        <f>' '!I39</f>
        <v/>
      </c>
      <c r="N35" s="98" t="str">
        <f>' '!J39</f>
        <v/>
      </c>
      <c r="O35" s="98" t="str">
        <f>' '!K39</f>
        <v xml:space="preserve"> </v>
      </c>
      <c r="P35" s="105"/>
      <c r="Q35" s="99" t="str">
        <f>'  (2)'!Q39</f>
        <v/>
      </c>
      <c r="R35" s="97" t="str">
        <f>'  (2)'!R39</f>
        <v/>
      </c>
    </row>
    <row r="36" spans="1:19" x14ac:dyDescent="0.25">
      <c r="A36" s="100">
        <f>'  (2)'!B40</f>
        <v>16</v>
      </c>
      <c r="B36" s="101">
        <f ca="1">'  (2)'!D40</f>
        <v>46122</v>
      </c>
      <c r="C36" s="100">
        <f ca="1">'  (2)'!E40</f>
        <v>31</v>
      </c>
      <c r="D36" s="111">
        <f>'  (2)'!I40</f>
        <v>24828.436720519654</v>
      </c>
      <c r="E36" s="113">
        <f>'  (2)'!G40</f>
        <v>3194.1086586367933</v>
      </c>
      <c r="F36" s="111">
        <f>'  (2)'!H40</f>
        <v>21634.328061882861</v>
      </c>
      <c r="G36" s="113">
        <f>'  (2)'!P40</f>
        <v>0</v>
      </c>
      <c r="H36" s="105"/>
      <c r="I36" s="97" t="str">
        <f>'  (2)'!N40</f>
        <v/>
      </c>
      <c r="J36" s="105"/>
      <c r="K36" s="105"/>
      <c r="L36" s="105"/>
      <c r="M36" s="97" t="str">
        <f>' '!I40</f>
        <v/>
      </c>
      <c r="N36" s="98" t="str">
        <f>' '!J40</f>
        <v/>
      </c>
      <c r="O36" s="98" t="str">
        <f>' '!K40</f>
        <v xml:space="preserve"> </v>
      </c>
      <c r="P36" s="105"/>
      <c r="Q36" s="99" t="str">
        <f>'  (2)'!Q40</f>
        <v/>
      </c>
      <c r="R36" s="97" t="str">
        <f>'  (2)'!R40</f>
        <v/>
      </c>
    </row>
    <row r="37" spans="1:19" x14ac:dyDescent="0.25">
      <c r="A37" s="100">
        <f>'  (2)'!B41</f>
        <v>17</v>
      </c>
      <c r="B37" s="101">
        <f ca="1">'  (2)'!D41</f>
        <v>46152</v>
      </c>
      <c r="C37" s="100">
        <f ca="1">'  (2)'!E41</f>
        <v>30</v>
      </c>
      <c r="D37" s="111">
        <f>'  (2)'!I41</f>
        <v>24828.436720519658</v>
      </c>
      <c r="E37" s="113">
        <f>'  (2)'!G41</f>
        <v>3343.0339748457345</v>
      </c>
      <c r="F37" s="111">
        <f>'  (2)'!H41</f>
        <v>21485.402745673924</v>
      </c>
      <c r="G37" s="113">
        <f>'  (2)'!P41</f>
        <v>0</v>
      </c>
      <c r="H37" s="105"/>
      <c r="I37" s="97" t="str">
        <f>'  (2)'!N41</f>
        <v/>
      </c>
      <c r="J37" s="105"/>
      <c r="K37" s="105"/>
      <c r="L37" s="105"/>
      <c r="M37" s="97" t="str">
        <f>' '!I41</f>
        <v/>
      </c>
      <c r="N37" s="98" t="str">
        <f>' '!J41</f>
        <v/>
      </c>
      <c r="O37" s="98" t="str">
        <f>' '!K41</f>
        <v xml:space="preserve"> </v>
      </c>
      <c r="P37" s="105"/>
      <c r="Q37" s="99" t="str">
        <f>'  (2)'!Q41</f>
        <v/>
      </c>
      <c r="R37" s="97" t="str">
        <f>'  (2)'!R41</f>
        <v/>
      </c>
    </row>
    <row r="38" spans="1:19" x14ac:dyDescent="0.25">
      <c r="A38" s="100">
        <f>'  (2)'!B42</f>
        <v>18</v>
      </c>
      <c r="B38" s="101">
        <f ca="1">'  (2)'!D42</f>
        <v>46183</v>
      </c>
      <c r="C38" s="100">
        <f ca="1">'  (2)'!E42</f>
        <v>31</v>
      </c>
      <c r="D38" s="111">
        <f>'  (2)'!I42</f>
        <v>24828.436720519658</v>
      </c>
      <c r="E38" s="113">
        <f>'  (2)'!G42</f>
        <v>3498.9029339229169</v>
      </c>
      <c r="F38" s="111">
        <f>'  (2)'!H42</f>
        <v>21329.533786596741</v>
      </c>
      <c r="G38" s="113">
        <f>'  (2)'!P42</f>
        <v>0</v>
      </c>
      <c r="H38" s="105"/>
      <c r="I38" s="97" t="str">
        <f>'  (2)'!N42</f>
        <v/>
      </c>
      <c r="J38" s="105"/>
      <c r="K38" s="105"/>
      <c r="L38" s="105"/>
      <c r="M38" s="97" t="str">
        <f>' '!I42</f>
        <v/>
      </c>
      <c r="N38" s="98" t="str">
        <f>' '!J42</f>
        <v/>
      </c>
      <c r="O38" s="98" t="str">
        <f>' '!K42</f>
        <v xml:space="preserve"> </v>
      </c>
      <c r="P38" s="105"/>
      <c r="Q38" s="99" t="str">
        <f>'  (2)'!Q42</f>
        <v/>
      </c>
      <c r="R38" s="97" t="str">
        <f>'  (2)'!R42</f>
        <v/>
      </c>
    </row>
    <row r="39" spans="1:19" x14ac:dyDescent="0.25">
      <c r="A39" s="100">
        <f>'  (2)'!B43</f>
        <v>19</v>
      </c>
      <c r="B39" s="101">
        <f ca="1">'  (2)'!D43</f>
        <v>46213</v>
      </c>
      <c r="C39" s="100">
        <f ca="1">'  (2)'!E43</f>
        <v>30</v>
      </c>
      <c r="D39" s="111">
        <f>'  (2)'!I43</f>
        <v>24828.436720519658</v>
      </c>
      <c r="E39" s="113">
        <f>'  (2)'!G43</f>
        <v>3662.0392832170728</v>
      </c>
      <c r="F39" s="111">
        <f>'  (2)'!H43</f>
        <v>21166.397437302585</v>
      </c>
      <c r="G39" s="113">
        <f>'  (2)'!P43</f>
        <v>0</v>
      </c>
      <c r="H39" s="105"/>
      <c r="I39" s="97" t="str">
        <f>'  (2)'!N43</f>
        <v/>
      </c>
      <c r="J39" s="105"/>
      <c r="K39" s="105"/>
      <c r="L39" s="105"/>
      <c r="M39" s="97" t="str">
        <f>' '!I43</f>
        <v/>
      </c>
      <c r="N39" s="98" t="str">
        <f>' '!J43</f>
        <v/>
      </c>
      <c r="O39" s="98" t="str">
        <f>' '!K43</f>
        <v xml:space="preserve"> </v>
      </c>
      <c r="P39" s="105"/>
      <c r="Q39" s="99" t="str">
        <f>'  (2)'!Q43</f>
        <v/>
      </c>
      <c r="R39" s="97" t="str">
        <f>'  (2)'!R43</f>
        <v/>
      </c>
    </row>
    <row r="40" spans="1:19" x14ac:dyDescent="0.25">
      <c r="A40" s="100">
        <f>'  (2)'!B44</f>
        <v>20</v>
      </c>
      <c r="B40" s="101">
        <f ca="1">'  (2)'!D44</f>
        <v>46244</v>
      </c>
      <c r="C40" s="100">
        <f ca="1">'  (2)'!E44</f>
        <v>31</v>
      </c>
      <c r="D40" s="111">
        <f>'  (2)'!I44</f>
        <v>24828.436720519658</v>
      </c>
      <c r="E40" s="113">
        <f>'  (2)'!G44</f>
        <v>3832.781864797068</v>
      </c>
      <c r="F40" s="111">
        <f>'  (2)'!H44</f>
        <v>20995.654855722591</v>
      </c>
      <c r="G40" s="113">
        <f>'  (2)'!P44</f>
        <v>0</v>
      </c>
      <c r="H40" s="105"/>
      <c r="I40" s="97" t="str">
        <f>'  (2)'!N44</f>
        <v/>
      </c>
      <c r="J40" s="105"/>
      <c r="K40" s="105"/>
      <c r="L40" s="105"/>
      <c r="M40" s="97" t="str">
        <f>' '!I44</f>
        <v/>
      </c>
      <c r="N40" s="98" t="str">
        <f>' '!J44</f>
        <v/>
      </c>
      <c r="O40" s="98" t="str">
        <f>' '!K44</f>
        <v xml:space="preserve"> </v>
      </c>
      <c r="P40" s="105"/>
      <c r="Q40" s="99" t="str">
        <f>'  (2)'!Q44</f>
        <v/>
      </c>
      <c r="R40" s="97" t="str">
        <f>'  (2)'!R44</f>
        <v/>
      </c>
    </row>
    <row r="41" spans="1:19" x14ac:dyDescent="0.25">
      <c r="A41" s="100">
        <f>'  (2)'!B45</f>
        <v>21</v>
      </c>
      <c r="B41" s="101">
        <f ca="1">'  (2)'!D45</f>
        <v>46275</v>
      </c>
      <c r="C41" s="100">
        <f ca="1">'  (2)'!E45</f>
        <v>31</v>
      </c>
      <c r="D41" s="111">
        <f>'  (2)'!I45</f>
        <v>24828.436720519658</v>
      </c>
      <c r="E41" s="113">
        <f>'  (2)'!G45</f>
        <v>4011.4853192432315</v>
      </c>
      <c r="F41" s="111">
        <f>'  (2)'!H45</f>
        <v>20816.951401276427</v>
      </c>
      <c r="G41" s="113">
        <f>'  (2)'!P45</f>
        <v>0</v>
      </c>
      <c r="H41" s="105"/>
      <c r="I41" s="97" t="str">
        <f>'  (2)'!N45</f>
        <v/>
      </c>
      <c r="J41" s="105"/>
      <c r="K41" s="105"/>
      <c r="L41" s="105"/>
      <c r="M41" s="97" t="str">
        <f>' '!I45</f>
        <v/>
      </c>
      <c r="N41" s="98" t="str">
        <f>' '!J45</f>
        <v/>
      </c>
      <c r="O41" s="98" t="str">
        <f>' '!K45</f>
        <v xml:space="preserve"> </v>
      </c>
      <c r="P41" s="105"/>
      <c r="Q41" s="99" t="str">
        <f>'  (2)'!Q45</f>
        <v/>
      </c>
      <c r="R41" s="97" t="str">
        <f>'  (2)'!R45</f>
        <v/>
      </c>
    </row>
    <row r="42" spans="1:19" x14ac:dyDescent="0.25">
      <c r="A42" s="100">
        <f>'  (2)'!B46</f>
        <v>22</v>
      </c>
      <c r="B42" s="101">
        <f ca="1">'  (2)'!D46</f>
        <v>46305</v>
      </c>
      <c r="C42" s="100">
        <f ca="1">'  (2)'!E46</f>
        <v>30</v>
      </c>
      <c r="D42" s="111">
        <f>'  (2)'!I46</f>
        <v>24828.436720519658</v>
      </c>
      <c r="E42" s="113">
        <f>'  (2)'!G46</f>
        <v>4198.5208222529482</v>
      </c>
      <c r="F42" s="111">
        <f>'  (2)'!H46</f>
        <v>20629.91589826671</v>
      </c>
      <c r="G42" s="113">
        <f>'  (2)'!P46</f>
        <v>0</v>
      </c>
      <c r="H42" s="105"/>
      <c r="I42" s="97" t="str">
        <f>'  (2)'!N46</f>
        <v/>
      </c>
      <c r="J42" s="105"/>
      <c r="K42" s="105"/>
      <c r="L42" s="105"/>
      <c r="M42" s="97" t="str">
        <f>' '!I46</f>
        <v/>
      </c>
      <c r="N42" s="98" t="str">
        <f>' '!J46</f>
        <v/>
      </c>
      <c r="O42" s="98" t="str">
        <f>' '!K46</f>
        <v xml:space="preserve"> </v>
      </c>
      <c r="P42" s="105"/>
      <c r="Q42" s="99" t="str">
        <f>'  (2)'!Q46</f>
        <v/>
      </c>
      <c r="R42" s="97" t="str">
        <f>'  (2)'!R46</f>
        <v/>
      </c>
    </row>
    <row r="43" spans="1:19" x14ac:dyDescent="0.25">
      <c r="A43" s="100">
        <f>'  (2)'!B47</f>
        <v>23</v>
      </c>
      <c r="B43" s="101">
        <f ca="1">'  (2)'!D47</f>
        <v>46336</v>
      </c>
      <c r="C43" s="100">
        <f ca="1">'  (2)'!E47</f>
        <v>31</v>
      </c>
      <c r="D43" s="111">
        <f>'  (2)'!I47</f>
        <v>24828.436720519661</v>
      </c>
      <c r="E43" s="113">
        <f>'  (2)'!G47</f>
        <v>4394.2768555904913</v>
      </c>
      <c r="F43" s="111">
        <f>'  (2)'!H47</f>
        <v>20434.15986492917</v>
      </c>
      <c r="G43" s="113">
        <f>'  (2)'!P47</f>
        <v>0</v>
      </c>
      <c r="H43" s="105"/>
      <c r="I43" s="97" t="str">
        <f>'  (2)'!N47</f>
        <v/>
      </c>
      <c r="J43" s="105"/>
      <c r="K43" s="105"/>
      <c r="L43" s="105"/>
      <c r="M43" s="97" t="str">
        <f>' '!I47</f>
        <v/>
      </c>
      <c r="N43" s="98" t="str">
        <f>' '!J47</f>
        <v/>
      </c>
      <c r="O43" s="98" t="str">
        <f>' '!K47</f>
        <v xml:space="preserve"> </v>
      </c>
      <c r="P43" s="105"/>
      <c r="Q43" s="99" t="str">
        <f>'  (2)'!Q47</f>
        <v/>
      </c>
      <c r="R43" s="97" t="str">
        <f>'  (2)'!R47</f>
        <v/>
      </c>
    </row>
    <row r="44" spans="1:19" x14ac:dyDescent="0.25">
      <c r="A44" s="100">
        <f>'  (2)'!B48</f>
        <v>24</v>
      </c>
      <c r="B44" s="101">
        <f ca="1">'  (2)'!D48</f>
        <v>46366</v>
      </c>
      <c r="C44" s="100">
        <f ca="1">'  (2)'!E48</f>
        <v>30</v>
      </c>
      <c r="D44" s="111">
        <f>'  (2)'!I48</f>
        <v>24828.436720519658</v>
      </c>
      <c r="E44" s="113">
        <f>'  (2)'!G48</f>
        <v>4599.1600139823968</v>
      </c>
      <c r="F44" s="111">
        <f>'  (2)'!H48</f>
        <v>20229.276706537261</v>
      </c>
      <c r="G44" s="113">
        <f>'  (2)'!P48</f>
        <v>0</v>
      </c>
      <c r="H44" s="105"/>
      <c r="I44" s="97" t="str">
        <f>'  (2)'!N48</f>
        <v/>
      </c>
      <c r="J44" s="105"/>
      <c r="K44" s="105"/>
      <c r="L44" s="105"/>
      <c r="M44" s="97" t="str">
        <f>' '!I48</f>
        <v/>
      </c>
      <c r="N44" s="98" t="str">
        <f>' '!J48</f>
        <v/>
      </c>
      <c r="O44" s="98" t="str">
        <f>' '!K48</f>
        <v xml:space="preserve"> </v>
      </c>
      <c r="P44" s="105"/>
      <c r="Q44" s="99" t="str">
        <f>'  (2)'!Q48</f>
        <v/>
      </c>
      <c r="R44" s="97" t="str">
        <f>'  (2)'!R48</f>
        <v/>
      </c>
    </row>
    <row r="45" spans="1:19" x14ac:dyDescent="0.25">
      <c r="A45" s="100">
        <f>'  (2)'!B49</f>
        <v>25</v>
      </c>
      <c r="B45" s="101">
        <f ca="1">'  (2)'!D49</f>
        <v>46397</v>
      </c>
      <c r="C45" s="100">
        <f ca="1">'  (2)'!E49</f>
        <v>31</v>
      </c>
      <c r="D45" s="111">
        <f>'  (2)'!I49</f>
        <v>24828.436720519658</v>
      </c>
      <c r="E45" s="113">
        <f>'  (2)'!G49</f>
        <v>4813.5958496343264</v>
      </c>
      <c r="F45" s="111">
        <f>'  (2)'!H49</f>
        <v>20014.840870885331</v>
      </c>
      <c r="G45" s="113">
        <f>'  (2)'!P49</f>
        <v>0</v>
      </c>
      <c r="H45" s="105"/>
      <c r="I45" s="97" t="str">
        <f>'  (2)'!N49</f>
        <v/>
      </c>
      <c r="J45" s="105"/>
      <c r="K45" s="105"/>
      <c r="L45" s="105"/>
      <c r="M45" s="97" t="str">
        <f>' '!I49</f>
        <v/>
      </c>
      <c r="N45" s="98">
        <f>' '!J49</f>
        <v>0</v>
      </c>
      <c r="O45" s="98">
        <f>' '!K49</f>
        <v>0</v>
      </c>
      <c r="P45" s="105"/>
      <c r="Q45" s="99" t="str">
        <f>'  (2)'!Q49</f>
        <v/>
      </c>
      <c r="R45" s="97" t="str">
        <f>'  (2)'!R49</f>
        <v/>
      </c>
    </row>
    <row r="46" spans="1:19" x14ac:dyDescent="0.25">
      <c r="A46" s="100">
        <f>'  (2)'!B50</f>
        <v>26</v>
      </c>
      <c r="B46" s="101">
        <f ca="1">'  (2)'!D50</f>
        <v>46428</v>
      </c>
      <c r="C46" s="100">
        <f ca="1">'  (2)'!E50</f>
        <v>31</v>
      </c>
      <c r="D46" s="111">
        <f>'  (2)'!I50</f>
        <v>24828.436720519658</v>
      </c>
      <c r="E46" s="113">
        <f>'  (2)'!G50</f>
        <v>5038.0297561235275</v>
      </c>
      <c r="F46" s="111">
        <f>'  (2)'!H50</f>
        <v>19790.40696439613</v>
      </c>
      <c r="G46" s="113">
        <f>'  (2)'!P50</f>
        <v>0</v>
      </c>
      <c r="H46" s="105"/>
      <c r="I46" s="97" t="str">
        <f>'  (2)'!N50</f>
        <v/>
      </c>
      <c r="J46" s="105"/>
      <c r="K46" s="105"/>
      <c r="L46" s="105"/>
      <c r="M46" s="97" t="str">
        <f>' '!I50</f>
        <v/>
      </c>
      <c r="N46" s="98" t="str">
        <f>' '!J50</f>
        <v/>
      </c>
      <c r="O46" s="98" t="str">
        <f>' '!K50</f>
        <v xml:space="preserve"> </v>
      </c>
      <c r="P46" s="105"/>
      <c r="Q46" s="99" t="str">
        <f>'  (2)'!Q50</f>
        <v/>
      </c>
      <c r="R46" s="97" t="str">
        <f>'  (2)'!R50</f>
        <v/>
      </c>
    </row>
    <row r="47" spans="1:19" x14ac:dyDescent="0.25">
      <c r="A47" s="100">
        <f>'  (2)'!B51</f>
        <v>27</v>
      </c>
      <c r="B47" s="101">
        <f ca="1">'  (2)'!D51</f>
        <v>46456</v>
      </c>
      <c r="C47" s="100">
        <f ca="1">'  (2)'!E51</f>
        <v>28</v>
      </c>
      <c r="D47" s="111">
        <f>'  (2)'!I51</f>
        <v>24828.436720519661</v>
      </c>
      <c r="E47" s="113">
        <f>'  (2)'!G51</f>
        <v>5272.9278935027869</v>
      </c>
      <c r="F47" s="111">
        <f>'  (2)'!H51</f>
        <v>19555.508827016874</v>
      </c>
      <c r="G47" s="113">
        <f>'  (2)'!P51</f>
        <v>0</v>
      </c>
      <c r="H47" s="105"/>
      <c r="I47" s="97" t="str">
        <f>'  (2)'!N51</f>
        <v/>
      </c>
      <c r="J47" s="105"/>
      <c r="K47" s="105"/>
      <c r="L47" s="105"/>
      <c r="M47" s="97" t="str">
        <f>' '!I51</f>
        <v/>
      </c>
      <c r="N47" s="98" t="str">
        <f>' '!J51</f>
        <v/>
      </c>
      <c r="O47" s="98" t="str">
        <f>' '!K51</f>
        <v xml:space="preserve"> </v>
      </c>
      <c r="P47" s="105"/>
      <c r="Q47" s="99" t="str">
        <f>'  (2)'!Q51</f>
        <v/>
      </c>
      <c r="R47" s="97" t="str">
        <f>'  (2)'!R51</f>
        <v/>
      </c>
    </row>
    <row r="48" spans="1:19" x14ac:dyDescent="0.25">
      <c r="A48" s="100">
        <f>'  (2)'!B52</f>
        <v>28</v>
      </c>
      <c r="B48" s="101">
        <f ca="1">'  (2)'!D52</f>
        <v>46487</v>
      </c>
      <c r="C48" s="100">
        <f ca="1">'  (2)'!E52</f>
        <v>31</v>
      </c>
      <c r="D48" s="111">
        <f>'  (2)'!I52</f>
        <v>24828.436720519658</v>
      </c>
      <c r="E48" s="113">
        <f>'  (2)'!G52</f>
        <v>5518.7781565373543</v>
      </c>
      <c r="F48" s="111">
        <f>'  (2)'!H52</f>
        <v>19309.658563982302</v>
      </c>
      <c r="G48" s="113">
        <f>'  (2)'!P52</f>
        <v>0</v>
      </c>
      <c r="H48" s="105"/>
      <c r="I48" s="97" t="str">
        <f>'  (2)'!N52</f>
        <v/>
      </c>
      <c r="J48" s="105"/>
      <c r="K48" s="105"/>
      <c r="L48" s="105"/>
      <c r="M48" s="97" t="str">
        <f>' '!I52</f>
        <v/>
      </c>
      <c r="N48" s="98" t="str">
        <f>' '!J52</f>
        <v/>
      </c>
      <c r="O48" s="98" t="str">
        <f>' '!K52</f>
        <v xml:space="preserve"> </v>
      </c>
      <c r="P48" s="105"/>
      <c r="Q48" s="99" t="str">
        <f>'  (2)'!Q52</f>
        <v/>
      </c>
      <c r="R48" s="97" t="str">
        <f>'  (2)'!R52</f>
        <v/>
      </c>
    </row>
    <row r="49" spans="1:19" x14ac:dyDescent="0.25">
      <c r="A49" s="100">
        <f>'  (2)'!B53</f>
        <v>29</v>
      </c>
      <c r="B49" s="101">
        <f ca="1">'  (2)'!D53</f>
        <v>46517</v>
      </c>
      <c r="C49" s="100">
        <f ca="1">'  (2)'!E53</f>
        <v>30</v>
      </c>
      <c r="D49" s="111">
        <f>'  (2)'!I53</f>
        <v>24828.436720519658</v>
      </c>
      <c r="E49" s="113">
        <f>'  (2)'!G53</f>
        <v>5776.0911880859085</v>
      </c>
      <c r="F49" s="111">
        <f>'  (2)'!H53</f>
        <v>19052.345532433748</v>
      </c>
      <c r="G49" s="113">
        <f>'  (2)'!P53</f>
        <v>0</v>
      </c>
      <c r="H49" s="105"/>
      <c r="I49" s="97" t="str">
        <f>'  (2)'!N53</f>
        <v/>
      </c>
      <c r="J49" s="105"/>
      <c r="K49" s="105"/>
      <c r="L49" s="105"/>
      <c r="M49" s="97" t="str">
        <f>' '!I53</f>
        <v/>
      </c>
      <c r="N49" s="98" t="str">
        <f>' '!J53</f>
        <v/>
      </c>
      <c r="O49" s="98" t="str">
        <f>' '!K53</f>
        <v xml:space="preserve"> </v>
      </c>
      <c r="P49" s="105"/>
      <c r="Q49" s="99" t="str">
        <f>'  (2)'!Q53</f>
        <v/>
      </c>
      <c r="R49" s="97" t="str">
        <f>'  (2)'!R53</f>
        <v/>
      </c>
    </row>
    <row r="50" spans="1:19" x14ac:dyDescent="0.25">
      <c r="A50" s="100">
        <f>'  (2)'!B54</f>
        <v>30</v>
      </c>
      <c r="B50" s="101">
        <f ca="1">'  (2)'!D54</f>
        <v>46548</v>
      </c>
      <c r="C50" s="100">
        <f ca="1">'  (2)'!E54</f>
        <v>31</v>
      </c>
      <c r="D50" s="111">
        <f>'  (2)'!I54</f>
        <v>24828.436720519658</v>
      </c>
      <c r="E50" s="113">
        <f>'  (2)'!G54</f>
        <v>6045.4014397304136</v>
      </c>
      <c r="F50" s="111">
        <f>'  (2)'!H54</f>
        <v>18783.035280789245</v>
      </c>
      <c r="G50" s="113">
        <f>'  (2)'!P54</f>
        <v>0</v>
      </c>
      <c r="H50" s="105"/>
      <c r="I50" s="97" t="str">
        <f>'  (2)'!N54</f>
        <v/>
      </c>
      <c r="J50" s="105"/>
      <c r="K50" s="105"/>
      <c r="L50" s="105"/>
      <c r="M50" s="97" t="str">
        <f>' '!I54</f>
        <v/>
      </c>
      <c r="N50" s="98" t="str">
        <f>' '!J54</f>
        <v/>
      </c>
      <c r="O50" s="98" t="str">
        <f>' '!K54</f>
        <v xml:space="preserve"> </v>
      </c>
      <c r="P50" s="105"/>
      <c r="Q50" s="99" t="str">
        <f>'  (2)'!Q54</f>
        <v/>
      </c>
      <c r="R50" s="97" t="str">
        <f>'  (2)'!R54</f>
        <v/>
      </c>
    </row>
    <row r="51" spans="1:19" x14ac:dyDescent="0.25">
      <c r="A51" s="100">
        <f>'  (2)'!B55</f>
        <v>31</v>
      </c>
      <c r="B51" s="101">
        <f ca="1">'  (2)'!D55</f>
        <v>46578</v>
      </c>
      <c r="C51" s="100">
        <f ca="1">'  (2)'!E55</f>
        <v>30</v>
      </c>
      <c r="D51" s="111">
        <f>'  (2)'!I55</f>
        <v>24828.436720519654</v>
      </c>
      <c r="E51" s="113">
        <f>'  (2)'!G55</f>
        <v>6327.2682818578442</v>
      </c>
      <c r="F51" s="111">
        <f>'  (2)'!H55</f>
        <v>18501.168438661811</v>
      </c>
      <c r="G51" s="113">
        <f>'  (2)'!P55</f>
        <v>0</v>
      </c>
      <c r="H51" s="105"/>
      <c r="I51" s="97" t="str">
        <f>'  (2)'!N55</f>
        <v/>
      </c>
      <c r="J51" s="105"/>
      <c r="K51" s="105"/>
      <c r="L51" s="105"/>
      <c r="M51" s="97" t="str">
        <f>' '!I55</f>
        <v/>
      </c>
      <c r="N51" s="98" t="str">
        <f>' '!J55</f>
        <v/>
      </c>
      <c r="O51" s="98" t="str">
        <f>' '!K55</f>
        <v xml:space="preserve"> </v>
      </c>
      <c r="P51" s="105"/>
      <c r="Q51" s="99" t="str">
        <f>'  (2)'!Q55</f>
        <v/>
      </c>
      <c r="R51" s="97" t="str">
        <f>'  (2)'!R55</f>
        <v/>
      </c>
    </row>
    <row r="52" spans="1:19" x14ac:dyDescent="0.25">
      <c r="A52" s="100">
        <f>'  (2)'!B56</f>
        <v>32</v>
      </c>
      <c r="B52" s="101">
        <f ca="1">'  (2)'!D56</f>
        <v>46609</v>
      </c>
      <c r="C52" s="100">
        <f ca="1">'  (2)'!E56</f>
        <v>31</v>
      </c>
      <c r="D52" s="111">
        <f>'  (2)'!I56</f>
        <v>24828.436720519661</v>
      </c>
      <c r="E52" s="113">
        <f>'  (2)'!G56</f>
        <v>6622.2771654994667</v>
      </c>
      <c r="F52" s="111">
        <f>'  (2)'!H56</f>
        <v>18206.159555020193</v>
      </c>
      <c r="G52" s="113">
        <f>'  (2)'!P56</f>
        <v>0</v>
      </c>
      <c r="H52" s="105"/>
      <c r="I52" s="97" t="str">
        <f>'  (2)'!N56</f>
        <v/>
      </c>
      <c r="J52" s="105"/>
      <c r="K52" s="105"/>
      <c r="L52" s="105"/>
      <c r="M52" s="97" t="str">
        <f>' '!I56</f>
        <v/>
      </c>
      <c r="N52" s="98" t="str">
        <f>' '!J56</f>
        <v/>
      </c>
      <c r="O52" s="98" t="str">
        <f>' '!K56</f>
        <v xml:space="preserve"> </v>
      </c>
      <c r="P52" s="105"/>
      <c r="Q52" s="99" t="str">
        <f>'  (2)'!Q56</f>
        <v/>
      </c>
      <c r="R52" s="97" t="str">
        <f>'  (2)'!R56</f>
        <v/>
      </c>
    </row>
    <row r="53" spans="1:19" x14ac:dyDescent="0.25">
      <c r="A53" s="100">
        <f>'  (2)'!B57</f>
        <v>33</v>
      </c>
      <c r="B53" s="101">
        <f ca="1">'  (2)'!D57</f>
        <v>46640</v>
      </c>
      <c r="C53" s="100">
        <f ca="1">'  (2)'!E57</f>
        <v>31</v>
      </c>
      <c r="D53" s="111">
        <f>'  (2)'!I57</f>
        <v>24828.436720519654</v>
      </c>
      <c r="E53" s="113">
        <f>'  (2)'!G57</f>
        <v>6931.0408383408803</v>
      </c>
      <c r="F53" s="111">
        <f>'  (2)'!H57</f>
        <v>17897.395882178775</v>
      </c>
      <c r="G53" s="113">
        <f>'  (2)'!P57</f>
        <v>0</v>
      </c>
      <c r="H53" s="105"/>
      <c r="I53" s="97" t="str">
        <f>'  (2)'!N57</f>
        <v/>
      </c>
      <c r="J53" s="105"/>
      <c r="K53" s="105"/>
      <c r="L53" s="105"/>
      <c r="M53" s="97" t="str">
        <f>' '!I57</f>
        <v/>
      </c>
      <c r="N53" s="98" t="str">
        <f>' '!J57</f>
        <v/>
      </c>
      <c r="O53" s="98" t="str">
        <f>' '!K57</f>
        <v xml:space="preserve"> </v>
      </c>
      <c r="P53" s="105"/>
      <c r="Q53" s="99" t="str">
        <f>'  (2)'!Q57</f>
        <v/>
      </c>
      <c r="R53" s="97" t="str">
        <f>'  (2)'!R57</f>
        <v/>
      </c>
    </row>
    <row r="54" spans="1:19" x14ac:dyDescent="0.25">
      <c r="A54" s="100">
        <f>'  (2)'!B58</f>
        <v>34</v>
      </c>
      <c r="B54" s="101">
        <f ca="1">'  (2)'!D58</f>
        <v>46670</v>
      </c>
      <c r="C54" s="100">
        <f ca="1">'  (2)'!E58</f>
        <v>30</v>
      </c>
      <c r="D54" s="111">
        <f>'  (2)'!I58</f>
        <v>24828.436720519658</v>
      </c>
      <c r="E54" s="113">
        <f>'  (2)'!G58</f>
        <v>7254.2006174285243</v>
      </c>
      <c r="F54" s="111">
        <f>'  (2)'!H58</f>
        <v>17574.236103091134</v>
      </c>
      <c r="G54" s="113">
        <f>'  (2)'!P58</f>
        <v>0</v>
      </c>
      <c r="H54" s="105"/>
      <c r="I54" s="97" t="str">
        <f>'  (2)'!N58</f>
        <v/>
      </c>
      <c r="J54" s="105"/>
      <c r="K54" s="105"/>
      <c r="L54" s="105"/>
      <c r="M54" s="97" t="str">
        <f>' '!I58</f>
        <v/>
      </c>
      <c r="N54" s="98" t="str">
        <f>' '!J58</f>
        <v/>
      </c>
      <c r="O54" s="98" t="str">
        <f>' '!K58</f>
        <v xml:space="preserve"> </v>
      </c>
      <c r="P54" s="105"/>
      <c r="Q54" s="99" t="str">
        <f>'  (2)'!Q58</f>
        <v/>
      </c>
      <c r="R54" s="97" t="str">
        <f>'  (2)'!R58</f>
        <v/>
      </c>
    </row>
    <row r="55" spans="1:19" x14ac:dyDescent="0.25">
      <c r="A55" s="100">
        <f>'  (2)'!B59</f>
        <v>35</v>
      </c>
      <c r="B55" s="101">
        <f ca="1">'  (2)'!D59</f>
        <v>46701</v>
      </c>
      <c r="C55" s="100">
        <f ca="1">'  (2)'!E59</f>
        <v>31</v>
      </c>
      <c r="D55" s="111">
        <f>'  (2)'!I59</f>
        <v>24828.436720519654</v>
      </c>
      <c r="E55" s="113">
        <f>'  (2)'!G59</f>
        <v>7592.427721216126</v>
      </c>
      <c r="F55" s="111">
        <f>'  (2)'!H59</f>
        <v>17236.008999303529</v>
      </c>
      <c r="G55" s="113">
        <f>'  (2)'!P59</f>
        <v>0</v>
      </c>
      <c r="H55" s="105"/>
      <c r="I55" s="97" t="str">
        <f>'  (2)'!N59</f>
        <v/>
      </c>
      <c r="J55" s="105"/>
      <c r="K55" s="105"/>
      <c r="L55" s="105"/>
      <c r="M55" s="97" t="str">
        <f>' '!I59</f>
        <v/>
      </c>
      <c r="N55" s="98" t="str">
        <f>' '!J59</f>
        <v/>
      </c>
      <c r="O55" s="98" t="str">
        <f>' '!K59</f>
        <v xml:space="preserve">  </v>
      </c>
      <c r="P55" s="105"/>
      <c r="Q55" s="99" t="str">
        <f>'  (2)'!Q59</f>
        <v/>
      </c>
      <c r="R55" s="97" t="str">
        <f>'  (2)'!R59</f>
        <v/>
      </c>
    </row>
    <row r="56" spans="1:19" x14ac:dyDescent="0.25">
      <c r="A56" s="100">
        <f>'  (2)'!B60</f>
        <v>36</v>
      </c>
      <c r="B56" s="101">
        <f ca="1">'  (2)'!D60</f>
        <v>46731</v>
      </c>
      <c r="C56" s="100">
        <f ca="1">'  (2)'!E60</f>
        <v>30</v>
      </c>
      <c r="D56" s="111">
        <f>'  (2)'!I60</f>
        <v>24828.436720519658</v>
      </c>
      <c r="E56" s="113">
        <f>'  (2)'!G60</f>
        <v>7946.4246637178285</v>
      </c>
      <c r="F56" s="111">
        <f>'  (2)'!H60</f>
        <v>16882.012056801828</v>
      </c>
      <c r="G56" s="113">
        <f>'  (2)'!P60</f>
        <v>0</v>
      </c>
      <c r="H56" s="105"/>
      <c r="I56" s="97" t="str">
        <f>'  (2)'!N60</f>
        <v/>
      </c>
      <c r="J56" s="105"/>
      <c r="K56" s="105"/>
      <c r="L56" s="105"/>
      <c r="M56" s="97" t="str">
        <f>' '!I60</f>
        <v/>
      </c>
      <c r="N56" s="98" t="str">
        <f>' '!J60</f>
        <v/>
      </c>
      <c r="O56" s="98" t="str">
        <f>' '!K60</f>
        <v xml:space="preserve"> </v>
      </c>
      <c r="P56" s="105"/>
      <c r="Q56" s="99" t="str">
        <f>'  (2)'!Q60</f>
        <v/>
      </c>
      <c r="R56" s="97" t="str">
        <f>'  (2)'!R60</f>
        <v/>
      </c>
    </row>
    <row r="57" spans="1:19" x14ac:dyDescent="0.25">
      <c r="A57" s="100">
        <f>'  (2)'!B61</f>
        <v>37</v>
      </c>
      <c r="B57" s="101">
        <f ca="1">'  (2)'!D61</f>
        <v>46762</v>
      </c>
      <c r="C57" s="100">
        <f ca="1">'  (2)'!E61</f>
        <v>31</v>
      </c>
      <c r="D57" s="111">
        <f>'  (2)'!I61</f>
        <v>24828.436720519661</v>
      </c>
      <c r="E57" s="113">
        <f>'  (2)'!G61</f>
        <v>8316.9267136636736</v>
      </c>
      <c r="F57" s="111">
        <f>'  (2)'!H61</f>
        <v>16511.510006855988</v>
      </c>
      <c r="G57" s="113">
        <f>'  (2)'!P61</f>
        <v>0</v>
      </c>
      <c r="H57" s="105"/>
      <c r="I57" s="97" t="str">
        <f>'  (2)'!N61</f>
        <v/>
      </c>
      <c r="J57" s="105"/>
      <c r="K57" s="105"/>
      <c r="L57" s="105"/>
      <c r="M57" s="97" t="str">
        <f>' '!I61</f>
        <v/>
      </c>
      <c r="N57" s="98">
        <f>' '!J61</f>
        <v>0</v>
      </c>
      <c r="O57" s="98">
        <f>' '!K61</f>
        <v>0</v>
      </c>
      <c r="P57" s="105"/>
      <c r="Q57" s="99" t="str">
        <f>'  (2)'!Q61</f>
        <v/>
      </c>
      <c r="R57" s="97" t="str">
        <f>'  (2)'!R61</f>
        <v/>
      </c>
      <c r="S57" s="90"/>
    </row>
    <row r="58" spans="1:19" x14ac:dyDescent="0.25">
      <c r="A58" s="100">
        <f>'  (2)'!B62</f>
        <v>38</v>
      </c>
      <c r="B58" s="101">
        <f ca="1">'  (2)'!D62</f>
        <v>46793</v>
      </c>
      <c r="C58" s="100">
        <f ca="1">'  (2)'!E62</f>
        <v>31</v>
      </c>
      <c r="D58" s="111">
        <f>'  (2)'!I62</f>
        <v>24828.436720519658</v>
      </c>
      <c r="E58" s="113">
        <f>'  (2)'!G62</f>
        <v>8704.7034216882421</v>
      </c>
      <c r="F58" s="111">
        <f>'  (2)'!H62</f>
        <v>16123.733298831416</v>
      </c>
      <c r="G58" s="113">
        <f>'  (2)'!P62</f>
        <v>0</v>
      </c>
      <c r="H58" s="105"/>
      <c r="I58" s="97" t="str">
        <f>'  (2)'!N62</f>
        <v/>
      </c>
      <c r="J58" s="105"/>
      <c r="K58" s="105"/>
      <c r="L58" s="105"/>
      <c r="M58" s="97" t="str">
        <f>' '!I62</f>
        <v/>
      </c>
      <c r="N58" s="98" t="str">
        <f>' '!J62</f>
        <v/>
      </c>
      <c r="O58" s="98" t="str">
        <f>' '!K62</f>
        <v xml:space="preserve"> </v>
      </c>
      <c r="P58" s="105"/>
      <c r="Q58" s="99" t="str">
        <f>'  (2)'!Q62</f>
        <v/>
      </c>
      <c r="R58" s="97" t="str">
        <f>'  (2)'!R62</f>
        <v/>
      </c>
    </row>
    <row r="59" spans="1:19" x14ac:dyDescent="0.25">
      <c r="A59" s="100">
        <f>'  (2)'!B63</f>
        <v>39</v>
      </c>
      <c r="B59" s="101">
        <f ca="1">'  (2)'!D63</f>
        <v>46822</v>
      </c>
      <c r="C59" s="100">
        <f ca="1">'  (2)'!E63</f>
        <v>29</v>
      </c>
      <c r="D59" s="111">
        <f>'  (2)'!I63</f>
        <v>24828.436720519661</v>
      </c>
      <c r="E59" s="113">
        <f>'  (2)'!G63</f>
        <v>9110.5602187244567</v>
      </c>
      <c r="F59" s="111">
        <f>'  (2)'!H63</f>
        <v>15717.876501795205</v>
      </c>
      <c r="G59" s="113">
        <f>'  (2)'!P63</f>
        <v>0</v>
      </c>
      <c r="H59" s="105"/>
      <c r="I59" s="97" t="str">
        <f>'  (2)'!N63</f>
        <v/>
      </c>
      <c r="J59" s="105"/>
      <c r="K59" s="105"/>
      <c r="L59" s="105"/>
      <c r="M59" s="97" t="str">
        <f>' '!I63</f>
        <v/>
      </c>
      <c r="N59" s="97" t="str">
        <f>' '!J63</f>
        <v/>
      </c>
      <c r="O59" s="97" t="str">
        <f>' '!K63</f>
        <v xml:space="preserve"> </v>
      </c>
      <c r="P59" s="105"/>
      <c r="Q59" s="99" t="str">
        <f>'  (2)'!Q63</f>
        <v/>
      </c>
      <c r="R59" s="97" t="str">
        <f>'  (2)'!R63</f>
        <v/>
      </c>
    </row>
    <row r="60" spans="1:19" x14ac:dyDescent="0.25">
      <c r="A60" s="100">
        <f>'  (2)'!B64</f>
        <v>40</v>
      </c>
      <c r="B60" s="101">
        <f ca="1">'  (2)'!D64</f>
        <v>46853</v>
      </c>
      <c r="C60" s="100">
        <f ca="1">'  (2)'!E64</f>
        <v>31</v>
      </c>
      <c r="D60" s="111">
        <f>'  (2)'!I64</f>
        <v>24828.436720519654</v>
      </c>
      <c r="E60" s="113">
        <f>'  (2)'!G64</f>
        <v>9535.3400889224831</v>
      </c>
      <c r="F60" s="111">
        <f>'  (2)'!H64</f>
        <v>15293.096631597173</v>
      </c>
      <c r="G60" s="113">
        <f>'  (2)'!P64</f>
        <v>0</v>
      </c>
      <c r="H60" s="105"/>
      <c r="I60" s="97" t="str">
        <f>'  (2)'!N64</f>
        <v/>
      </c>
      <c r="J60" s="105"/>
      <c r="K60" s="105"/>
      <c r="L60" s="105"/>
      <c r="M60" s="97" t="str">
        <f>' '!I64</f>
        <v/>
      </c>
      <c r="N60" s="97" t="str">
        <f>' '!J64</f>
        <v/>
      </c>
      <c r="O60" s="97" t="str">
        <f>' '!K64</f>
        <v xml:space="preserve"> </v>
      </c>
      <c r="P60" s="105"/>
      <c r="Q60" s="99" t="str">
        <f>'  (2)'!Q64</f>
        <v/>
      </c>
      <c r="R60" s="97" t="str">
        <f>'  (2)'!R64</f>
        <v/>
      </c>
    </row>
    <row r="61" spans="1:19" x14ac:dyDescent="0.25">
      <c r="A61" s="100">
        <f>'  (2)'!B65</f>
        <v>41</v>
      </c>
      <c r="B61" s="101">
        <f ca="1">'  (2)'!D65</f>
        <v>46883</v>
      </c>
      <c r="C61" s="100">
        <f ca="1">'  (2)'!E65</f>
        <v>30</v>
      </c>
      <c r="D61" s="111">
        <f>'  (2)'!I65</f>
        <v>24828.436720519661</v>
      </c>
      <c r="E61" s="113">
        <f>'  (2)'!G65</f>
        <v>9979.9253205684963</v>
      </c>
      <c r="F61" s="111">
        <f>'  (2)'!H65</f>
        <v>14848.511399951163</v>
      </c>
      <c r="G61" s="113">
        <f>'  (2)'!P65</f>
        <v>0</v>
      </c>
      <c r="H61" s="105"/>
      <c r="I61" s="97" t="str">
        <f>'  (2)'!N65</f>
        <v/>
      </c>
      <c r="J61" s="105"/>
      <c r="K61" s="105"/>
      <c r="L61" s="105"/>
      <c r="M61" s="97" t="str">
        <f>' '!I65</f>
        <v/>
      </c>
      <c r="N61" s="97" t="str">
        <f>' '!J65</f>
        <v/>
      </c>
      <c r="O61" s="97" t="str">
        <f>' '!K65</f>
        <v xml:space="preserve"> </v>
      </c>
      <c r="P61" s="105"/>
      <c r="Q61" s="99" t="str">
        <f>'  (2)'!Q65</f>
        <v/>
      </c>
      <c r="R61" s="97" t="str">
        <f>'  (2)'!R65</f>
        <v/>
      </c>
    </row>
    <row r="62" spans="1:19" x14ac:dyDescent="0.25">
      <c r="A62" s="100">
        <f>'  (2)'!B66</f>
        <v>42</v>
      </c>
      <c r="B62" s="101">
        <f ca="1">'  (2)'!D66</f>
        <v>46914</v>
      </c>
      <c r="C62" s="100">
        <f ca="1">'  (2)'!E66</f>
        <v>31</v>
      </c>
      <c r="D62" s="111">
        <f>'  (2)'!I66</f>
        <v>24828.436720519654</v>
      </c>
      <c r="E62" s="113">
        <f>'  (2)'!G66</f>
        <v>10445.239338640002</v>
      </c>
      <c r="F62" s="111">
        <f>'  (2)'!H66</f>
        <v>14383.197381879654</v>
      </c>
      <c r="G62" s="113">
        <f>'  (2)'!P66</f>
        <v>0</v>
      </c>
      <c r="H62" s="105"/>
      <c r="I62" s="97" t="str">
        <f>'  (2)'!N66</f>
        <v/>
      </c>
      <c r="J62" s="105"/>
      <c r="K62" s="105"/>
      <c r="L62" s="105"/>
      <c r="M62" s="97" t="str">
        <f>' '!I66</f>
        <v/>
      </c>
      <c r="N62" s="97" t="str">
        <f>' '!J66</f>
        <v/>
      </c>
      <c r="O62" s="97" t="str">
        <f>' '!K66</f>
        <v xml:space="preserve"> </v>
      </c>
      <c r="P62" s="105"/>
      <c r="Q62" s="99" t="str">
        <f>'  (2)'!Q66</f>
        <v/>
      </c>
      <c r="R62" s="97" t="str">
        <f>'  (2)'!R66</f>
        <v/>
      </c>
    </row>
    <row r="63" spans="1:19" x14ac:dyDescent="0.25">
      <c r="A63" s="100">
        <f>'  (2)'!B67</f>
        <v>43</v>
      </c>
      <c r="B63" s="101">
        <f ca="1">'  (2)'!D67</f>
        <v>46944</v>
      </c>
      <c r="C63" s="100">
        <f ca="1">'  (2)'!E67</f>
        <v>30</v>
      </c>
      <c r="D63" s="111">
        <f>'  (2)'!I67</f>
        <v>24828.436720519658</v>
      </c>
      <c r="E63" s="113">
        <f>'  (2)'!G67</f>
        <v>10932.248622804091</v>
      </c>
      <c r="F63" s="111">
        <f>'  (2)'!H67</f>
        <v>13896.188097715567</v>
      </c>
      <c r="G63" s="113">
        <f>'  (2)'!P67</f>
        <v>0</v>
      </c>
      <c r="H63" s="105"/>
      <c r="I63" s="97" t="str">
        <f>'  (2)'!N67</f>
        <v/>
      </c>
      <c r="J63" s="105"/>
      <c r="K63" s="105"/>
      <c r="L63" s="105"/>
      <c r="M63" s="97" t="str">
        <f>' '!I67</f>
        <v/>
      </c>
      <c r="N63" s="97" t="str">
        <f>' '!J67</f>
        <v/>
      </c>
      <c r="O63" s="97" t="str">
        <f>' '!K67</f>
        <v xml:space="preserve"> </v>
      </c>
      <c r="P63" s="105"/>
      <c r="Q63" s="99" t="str">
        <f>'  (2)'!Q67</f>
        <v/>
      </c>
      <c r="R63" s="97" t="str">
        <f>'  (2)'!R67</f>
        <v/>
      </c>
    </row>
    <row r="64" spans="1:19" x14ac:dyDescent="0.25">
      <c r="A64" s="100">
        <f>'  (2)'!B68</f>
        <v>44</v>
      </c>
      <c r="B64" s="101">
        <f ca="1">'  (2)'!D68</f>
        <v>46975</v>
      </c>
      <c r="C64" s="100">
        <f ca="1">'  (2)'!E68</f>
        <v>31</v>
      </c>
      <c r="D64" s="111">
        <f>'  (2)'!I68</f>
        <v>24828.436720519658</v>
      </c>
      <c r="E64" s="113">
        <f>'  (2)'!G68</f>
        <v>11441.964714842332</v>
      </c>
      <c r="F64" s="111">
        <f>'  (2)'!H68</f>
        <v>13386.472005677326</v>
      </c>
      <c r="G64" s="113">
        <f>'  (2)'!P68</f>
        <v>0</v>
      </c>
      <c r="H64" s="105"/>
      <c r="I64" s="97" t="str">
        <f>'  (2)'!N68</f>
        <v/>
      </c>
      <c r="J64" s="105"/>
      <c r="K64" s="105"/>
      <c r="L64" s="105"/>
      <c r="M64" s="97" t="str">
        <f>' '!I68</f>
        <v/>
      </c>
      <c r="N64" s="97" t="str">
        <f>' '!J68</f>
        <v/>
      </c>
      <c r="O64" s="97" t="str">
        <f>' '!K68</f>
        <v xml:space="preserve"> </v>
      </c>
      <c r="P64" s="105"/>
      <c r="Q64" s="99" t="str">
        <f>'  (2)'!Q68</f>
        <v/>
      </c>
      <c r="R64" s="97" t="str">
        <f>'  (2)'!R68</f>
        <v/>
      </c>
    </row>
    <row r="65" spans="1:18" x14ac:dyDescent="0.25">
      <c r="A65" s="100">
        <f>'  (2)'!B69</f>
        <v>45</v>
      </c>
      <c r="B65" s="101">
        <f ca="1">'  (2)'!D69</f>
        <v>47006</v>
      </c>
      <c r="C65" s="100">
        <f ca="1">'  (2)'!E69</f>
        <v>31</v>
      </c>
      <c r="D65" s="111">
        <f>'  (2)'!I69</f>
        <v>24828.436720519654</v>
      </c>
      <c r="E65" s="113">
        <f>'  (2)'!G69</f>
        <v>11975.446319671855</v>
      </c>
      <c r="F65" s="111">
        <f>'  (2)'!H69</f>
        <v>12852.990400847801</v>
      </c>
      <c r="G65" s="113">
        <f>'  (2)'!P69</f>
        <v>0</v>
      </c>
      <c r="H65" s="105"/>
      <c r="I65" s="97" t="str">
        <f>'  (2)'!N69</f>
        <v/>
      </c>
      <c r="J65" s="105"/>
      <c r="K65" s="105"/>
      <c r="L65" s="105"/>
      <c r="M65" s="97" t="str">
        <f>' '!I69</f>
        <v/>
      </c>
      <c r="N65" s="97" t="str">
        <f>' '!J69</f>
        <v/>
      </c>
      <c r="O65" s="97" t="str">
        <f>' '!K69</f>
        <v xml:space="preserve"> </v>
      </c>
      <c r="P65" s="105"/>
      <c r="Q65" s="99" t="str">
        <f>'  (2)'!Q69</f>
        <v/>
      </c>
      <c r="R65" s="97" t="str">
        <f>'  (2)'!R69</f>
        <v/>
      </c>
    </row>
    <row r="66" spans="1:18" x14ac:dyDescent="0.25">
      <c r="A66" s="100">
        <f>'  (2)'!B70</f>
        <v>46</v>
      </c>
      <c r="B66" s="101">
        <f ca="1">'  (2)'!D70</f>
        <v>47036</v>
      </c>
      <c r="C66" s="100">
        <f ca="1">'  (2)'!E70</f>
        <v>30</v>
      </c>
      <c r="D66" s="111">
        <f>'  (2)'!I70</f>
        <v>24828.436720519658</v>
      </c>
      <c r="E66" s="113">
        <f>'  (2)'!G70</f>
        <v>12533.801504326555</v>
      </c>
      <c r="F66" s="111">
        <f>'  (2)'!H70</f>
        <v>12294.635216193103</v>
      </c>
      <c r="G66" s="113">
        <f>'  (2)'!P70</f>
        <v>0</v>
      </c>
      <c r="H66" s="105"/>
      <c r="I66" s="97" t="str">
        <f>'  (2)'!N70</f>
        <v/>
      </c>
      <c r="J66" s="105"/>
      <c r="K66" s="105"/>
      <c r="L66" s="105"/>
      <c r="M66" s="97" t="str">
        <f>' '!I70</f>
        <v/>
      </c>
      <c r="N66" s="97" t="str">
        <f>' '!J70</f>
        <v/>
      </c>
      <c r="O66" s="97" t="str">
        <f>' '!K70</f>
        <v xml:space="preserve"> </v>
      </c>
      <c r="P66" s="105"/>
      <c r="Q66" s="99" t="str">
        <f>'  (2)'!Q70</f>
        <v/>
      </c>
      <c r="R66" s="97" t="str">
        <f>'  (2)'!R70</f>
        <v/>
      </c>
    </row>
    <row r="67" spans="1:18" x14ac:dyDescent="0.25">
      <c r="A67" s="100">
        <f>'  (2)'!B71</f>
        <v>47</v>
      </c>
      <c r="B67" s="101">
        <f ca="1">'  (2)'!D71</f>
        <v>47067</v>
      </c>
      <c r="C67" s="100">
        <f ca="1">'  (2)'!E71</f>
        <v>31</v>
      </c>
      <c r="D67" s="111">
        <f>'  (2)'!I71</f>
        <v>24828.436720519661</v>
      </c>
      <c r="E67" s="113">
        <f>'  (2)'!G71</f>
        <v>13118.189999465783</v>
      </c>
      <c r="F67" s="111">
        <f>'  (2)'!H71</f>
        <v>11710.246721053876</v>
      </c>
      <c r="G67" s="113">
        <f>'  (2)'!P71</f>
        <v>0</v>
      </c>
      <c r="H67" s="105"/>
      <c r="I67" s="97" t="str">
        <f>'  (2)'!N71</f>
        <v/>
      </c>
      <c r="J67" s="105"/>
      <c r="K67" s="105"/>
      <c r="L67" s="105"/>
      <c r="M67" s="97" t="str">
        <f>' '!I71</f>
        <v/>
      </c>
      <c r="N67" s="97" t="str">
        <f>' '!J71</f>
        <v/>
      </c>
      <c r="O67" s="97" t="str">
        <f>' '!K71</f>
        <v xml:space="preserve"> </v>
      </c>
      <c r="P67" s="105"/>
      <c r="Q67" s="99" t="str">
        <f>'  (2)'!Q71</f>
        <v/>
      </c>
      <c r="R67" s="97" t="str">
        <f>'  (2)'!R71</f>
        <v/>
      </c>
    </row>
    <row r="68" spans="1:18" x14ac:dyDescent="0.25">
      <c r="A68" s="100">
        <f>'  (2)'!B72</f>
        <v>48</v>
      </c>
      <c r="B68" s="101">
        <f ca="1">'  (2)'!D72</f>
        <v>47097</v>
      </c>
      <c r="C68" s="100">
        <f ca="1">'  (2)'!E72</f>
        <v>30</v>
      </c>
      <c r="D68" s="111">
        <f>'  (2)'!I72</f>
        <v>24828.436720519661</v>
      </c>
      <c r="E68" s="113">
        <f>'  (2)'!G72</f>
        <v>13729.825608190875</v>
      </c>
      <c r="F68" s="111">
        <f>'  (2)'!H72</f>
        <v>11098.611112328785</v>
      </c>
      <c r="G68" s="113">
        <f>'  (2)'!P72</f>
        <v>0</v>
      </c>
      <c r="H68" s="105"/>
      <c r="I68" s="97" t="str">
        <f>'  (2)'!N72</f>
        <v/>
      </c>
      <c r="J68" s="105"/>
      <c r="K68" s="105"/>
      <c r="L68" s="105"/>
      <c r="M68" s="97" t="str">
        <f>' '!I72</f>
        <v/>
      </c>
      <c r="N68" s="97" t="str">
        <f>' '!J72</f>
        <v/>
      </c>
      <c r="O68" s="97" t="str">
        <f>' '!K72</f>
        <v xml:space="preserve"> </v>
      </c>
      <c r="P68" s="105"/>
      <c r="Q68" s="99" t="str">
        <f>'  (2)'!Q72</f>
        <v/>
      </c>
      <c r="R68" s="97" t="str">
        <f>'  (2)'!R72</f>
        <v/>
      </c>
    </row>
    <row r="69" spans="1:18" x14ac:dyDescent="0.25">
      <c r="A69" s="100">
        <f>'  (2)'!B73</f>
        <v>49</v>
      </c>
      <c r="B69" s="101">
        <f ca="1">'  (2)'!D73</f>
        <v>47128</v>
      </c>
      <c r="C69" s="100">
        <f ca="1">'  (2)'!E73</f>
        <v>31</v>
      </c>
      <c r="D69" s="111">
        <f>'  (2)'!I73</f>
        <v>24828.436720519661</v>
      </c>
      <c r="E69" s="113">
        <f>'  (2)'!G73</f>
        <v>14369.978727172775</v>
      </c>
      <c r="F69" s="111">
        <f>'  (2)'!H73</f>
        <v>10458.457993346887</v>
      </c>
      <c r="G69" s="113">
        <f>'  (2)'!P73</f>
        <v>0</v>
      </c>
      <c r="H69" s="105"/>
      <c r="I69" s="97" t="str">
        <f>'  (2)'!N73</f>
        <v/>
      </c>
      <c r="J69" s="105"/>
      <c r="K69" s="105"/>
      <c r="L69" s="105"/>
      <c r="M69" s="97" t="str">
        <f>' '!I73</f>
        <v/>
      </c>
      <c r="N69" s="98">
        <f>' '!J73</f>
        <v>0</v>
      </c>
      <c r="O69" s="98">
        <f>' '!K73</f>
        <v>0</v>
      </c>
      <c r="P69" s="105"/>
      <c r="Q69" s="99" t="str">
        <f>'  (2)'!Q73</f>
        <v/>
      </c>
      <c r="R69" s="97" t="str">
        <f>'  (2)'!R73</f>
        <v/>
      </c>
    </row>
    <row r="70" spans="1:18" x14ac:dyDescent="0.25">
      <c r="A70" s="100">
        <f>'  (2)'!B74</f>
        <v>50</v>
      </c>
      <c r="B70" s="101">
        <f ca="1">'  (2)'!D74</f>
        <v>47159</v>
      </c>
      <c r="C70" s="100">
        <f ca="1">'  (2)'!E74</f>
        <v>31</v>
      </c>
      <c r="D70" s="111">
        <f>'  (2)'!I74</f>
        <v>24828.436720519661</v>
      </c>
      <c r="E70" s="113">
        <f>'  (2)'!G74</f>
        <v>15039.978985327205</v>
      </c>
      <c r="F70" s="111">
        <f>'  (2)'!H74</f>
        <v>9788.4577351924563</v>
      </c>
      <c r="G70" s="113">
        <f>'  (2)'!P74</f>
        <v>0</v>
      </c>
      <c r="H70" s="105"/>
      <c r="I70" s="97" t="str">
        <f>'  (2)'!N74</f>
        <v/>
      </c>
      <c r="J70" s="105"/>
      <c r="K70" s="105"/>
      <c r="L70" s="105"/>
      <c r="M70" s="97" t="str">
        <f>' '!I74</f>
        <v/>
      </c>
      <c r="N70" s="97" t="str">
        <f>' '!J74</f>
        <v/>
      </c>
      <c r="O70" s="97" t="str">
        <f>' '!K74</f>
        <v xml:space="preserve"> </v>
      </c>
      <c r="P70" s="105"/>
      <c r="Q70" s="99" t="str">
        <f>'  (2)'!Q74</f>
        <v/>
      </c>
      <c r="R70" s="97" t="str">
        <f>'  (2)'!R74</f>
        <v/>
      </c>
    </row>
    <row r="71" spans="1:18" x14ac:dyDescent="0.25">
      <c r="A71" s="100">
        <f>'  (2)'!B75</f>
        <v>51</v>
      </c>
      <c r="B71" s="101">
        <f ca="1">'  (2)'!D75</f>
        <v>47187</v>
      </c>
      <c r="C71" s="100">
        <f ca="1">'  (2)'!E75</f>
        <v>28</v>
      </c>
      <c r="D71" s="111">
        <f>'  (2)'!I75</f>
        <v>24828.436720519658</v>
      </c>
      <c r="E71" s="113">
        <f>'  (2)'!G75</f>
        <v>15741.218005518085</v>
      </c>
      <c r="F71" s="111">
        <f>'  (2)'!H75</f>
        <v>9087.2187150015725</v>
      </c>
      <c r="G71" s="113">
        <f>'  (2)'!P75</f>
        <v>0</v>
      </c>
      <c r="H71" s="105"/>
      <c r="I71" s="97" t="str">
        <f>'  (2)'!N75</f>
        <v/>
      </c>
      <c r="J71" s="105"/>
      <c r="K71" s="105"/>
      <c r="L71" s="105"/>
      <c r="M71" s="97" t="str">
        <f>' '!I75</f>
        <v/>
      </c>
      <c r="N71" s="97" t="str">
        <f>' '!J75</f>
        <v/>
      </c>
      <c r="O71" s="97" t="str">
        <f>' '!K75</f>
        <v xml:space="preserve"> </v>
      </c>
      <c r="P71" s="105"/>
      <c r="Q71" s="99" t="str">
        <f>'  (2)'!Q75</f>
        <v/>
      </c>
      <c r="R71" s="97" t="str">
        <f>'  (2)'!R75</f>
        <v/>
      </c>
    </row>
    <row r="72" spans="1:18" x14ac:dyDescent="0.25">
      <c r="A72" s="100">
        <f>'  (2)'!B76</f>
        <v>52</v>
      </c>
      <c r="B72" s="101">
        <f ca="1">'  (2)'!D76</f>
        <v>47218</v>
      </c>
      <c r="C72" s="100">
        <f ca="1">'  (2)'!E76</f>
        <v>31</v>
      </c>
      <c r="D72" s="111">
        <f>'  (2)'!I76</f>
        <v>24828.436720519658</v>
      </c>
      <c r="E72" s="113">
        <f>'  (2)'!G76</f>
        <v>16475.152295025364</v>
      </c>
      <c r="F72" s="111">
        <f>'  (2)'!H76</f>
        <v>8353.2844254942938</v>
      </c>
      <c r="G72" s="113">
        <f>'  (2)'!P76</f>
        <v>0</v>
      </c>
      <c r="H72" s="105"/>
      <c r="I72" s="97" t="str">
        <f>'  (2)'!N76</f>
        <v/>
      </c>
      <c r="J72" s="105"/>
      <c r="K72" s="105"/>
      <c r="L72" s="105"/>
      <c r="M72" s="97" t="str">
        <f>' '!I76</f>
        <v/>
      </c>
      <c r="N72" s="97" t="str">
        <f>' '!J76</f>
        <v/>
      </c>
      <c r="O72" s="97" t="str">
        <f>' '!K76</f>
        <v xml:space="preserve"> </v>
      </c>
      <c r="P72" s="105"/>
      <c r="Q72" s="99" t="str">
        <f>'  (2)'!Q76</f>
        <v/>
      </c>
      <c r="R72" s="97" t="str">
        <f>'  (2)'!R76</f>
        <v/>
      </c>
    </row>
    <row r="73" spans="1:18" x14ac:dyDescent="0.25">
      <c r="A73" s="100">
        <f>'  (2)'!B77</f>
        <v>53</v>
      </c>
      <c r="B73" s="101">
        <f ca="1">'  (2)'!D77</f>
        <v>47248</v>
      </c>
      <c r="C73" s="100">
        <f ca="1">'  (2)'!E77</f>
        <v>30</v>
      </c>
      <c r="D73" s="111">
        <f>'  (2)'!I77</f>
        <v>24828.436720519658</v>
      </c>
      <c r="E73" s="113">
        <f>'  (2)'!G77</f>
        <v>17243.306270780922</v>
      </c>
      <c r="F73" s="111">
        <f>'  (2)'!H77</f>
        <v>7585.1304497387364</v>
      </c>
      <c r="G73" s="113">
        <f>'  (2)'!P77</f>
        <v>0</v>
      </c>
      <c r="H73" s="105"/>
      <c r="I73" s="97" t="str">
        <f>'  (2)'!N77</f>
        <v/>
      </c>
      <c r="J73" s="105"/>
      <c r="K73" s="105"/>
      <c r="L73" s="105"/>
      <c r="M73" s="97" t="str">
        <f>' '!I77</f>
        <v/>
      </c>
      <c r="N73" s="97" t="str">
        <f>' '!J77</f>
        <v/>
      </c>
      <c r="O73" s="97" t="str">
        <f>' '!K77</f>
        <v xml:space="preserve"> </v>
      </c>
      <c r="P73" s="105"/>
      <c r="Q73" s="99" t="str">
        <f>'  (2)'!Q77</f>
        <v/>
      </c>
      <c r="R73" s="97" t="str">
        <f>'  (2)'!R77</f>
        <v/>
      </c>
    </row>
    <row r="74" spans="1:18" x14ac:dyDescent="0.25">
      <c r="A74" s="100">
        <f>'  (2)'!B78</f>
        <v>54</v>
      </c>
      <c r="B74" s="101">
        <f ca="1">'  (2)'!D78</f>
        <v>47279</v>
      </c>
      <c r="C74" s="100">
        <f ca="1">'  (2)'!E78</f>
        <v>31</v>
      </c>
      <c r="D74" s="111">
        <f>'  (2)'!I78</f>
        <v>24828.436720519658</v>
      </c>
      <c r="E74" s="113">
        <f>'  (2)'!G78</f>
        <v>18047.275425656084</v>
      </c>
      <c r="F74" s="111">
        <f>'  (2)'!H78</f>
        <v>6781.1612948635739</v>
      </c>
      <c r="G74" s="113">
        <f>'  (2)'!P78</f>
        <v>0</v>
      </c>
      <c r="H74" s="105"/>
      <c r="I74" s="97" t="str">
        <f>'  (2)'!N78</f>
        <v/>
      </c>
      <c r="J74" s="105"/>
      <c r="K74" s="105"/>
      <c r="L74" s="105"/>
      <c r="M74" s="97" t="str">
        <f>' '!I78</f>
        <v/>
      </c>
      <c r="N74" s="97" t="str">
        <f>' '!J78</f>
        <v/>
      </c>
      <c r="O74" s="97" t="str">
        <f>' '!K78</f>
        <v xml:space="preserve"> </v>
      </c>
      <c r="P74" s="105"/>
      <c r="Q74" s="99" t="str">
        <f>'  (2)'!Q78</f>
        <v/>
      </c>
      <c r="R74" s="97" t="str">
        <f>'  (2)'!R78</f>
        <v/>
      </c>
    </row>
    <row r="75" spans="1:18" x14ac:dyDescent="0.25">
      <c r="A75" s="100">
        <f>'  (2)'!B79</f>
        <v>55</v>
      </c>
      <c r="B75" s="101">
        <f ca="1">'  (2)'!D79</f>
        <v>47309</v>
      </c>
      <c r="C75" s="100">
        <f ca="1">'  (2)'!E79</f>
        <v>30</v>
      </c>
      <c r="D75" s="111">
        <f>'  (2)'!I79</f>
        <v>24828.436720519658</v>
      </c>
      <c r="E75" s="113">
        <f>'  (2)'!G79</f>
        <v>18888.729642377297</v>
      </c>
      <c r="F75" s="111">
        <f>'  (2)'!H79</f>
        <v>5939.7070781423608</v>
      </c>
      <c r="G75" s="113">
        <f>'  (2)'!P79</f>
        <v>0</v>
      </c>
      <c r="H75" s="105"/>
      <c r="I75" s="97" t="str">
        <f>'  (2)'!N79</f>
        <v/>
      </c>
      <c r="J75" s="105"/>
      <c r="K75" s="105"/>
      <c r="L75" s="105"/>
      <c r="M75" s="97" t="str">
        <f>' '!I79</f>
        <v/>
      </c>
      <c r="N75" s="97" t="str">
        <f>' '!J79</f>
        <v/>
      </c>
      <c r="O75" s="97" t="str">
        <f>' '!K79</f>
        <v xml:space="preserve"> </v>
      </c>
      <c r="P75" s="105"/>
      <c r="Q75" s="99" t="str">
        <f>'  (2)'!Q79</f>
        <v/>
      </c>
      <c r="R75" s="97" t="str">
        <f>'  (2)'!R79</f>
        <v/>
      </c>
    </row>
    <row r="76" spans="1:18" x14ac:dyDescent="0.25">
      <c r="A76" s="100">
        <f>'  (2)'!B80</f>
        <v>56</v>
      </c>
      <c r="B76" s="101">
        <f ca="1">'  (2)'!D80</f>
        <v>47340</v>
      </c>
      <c r="C76" s="100">
        <f ca="1">'  (2)'!E80</f>
        <v>31</v>
      </c>
      <c r="D76" s="111">
        <f>'  (2)'!I80</f>
        <v>24828.436720519658</v>
      </c>
      <c r="E76" s="113">
        <f>'  (2)'!G80</f>
        <v>19769.416661953139</v>
      </c>
      <c r="F76" s="111">
        <f>'  (2)'!H80</f>
        <v>5059.0200585665179</v>
      </c>
      <c r="G76" s="113">
        <f>'  (2)'!P80</f>
        <v>0</v>
      </c>
      <c r="H76" s="105"/>
      <c r="I76" s="97" t="str">
        <f>'  (2)'!N80</f>
        <v/>
      </c>
      <c r="J76" s="105"/>
      <c r="K76" s="105"/>
      <c r="L76" s="105"/>
      <c r="M76" s="97" t="str">
        <f>' '!I80</f>
        <v/>
      </c>
      <c r="N76" s="97" t="str">
        <f>' '!J80</f>
        <v/>
      </c>
      <c r="O76" s="97" t="str">
        <f>' '!K80</f>
        <v xml:space="preserve"> </v>
      </c>
      <c r="P76" s="105"/>
      <c r="Q76" s="99" t="str">
        <f>'  (2)'!Q80</f>
        <v/>
      </c>
      <c r="R76" s="97" t="str">
        <f>'  (2)'!R80</f>
        <v/>
      </c>
    </row>
    <row r="77" spans="1:18" x14ac:dyDescent="0.25">
      <c r="A77" s="100">
        <f>'  (2)'!B81</f>
        <v>57</v>
      </c>
      <c r="B77" s="101">
        <f ca="1">'  (2)'!D81</f>
        <v>47371</v>
      </c>
      <c r="C77" s="100">
        <f ca="1">'  (2)'!E81</f>
        <v>31</v>
      </c>
      <c r="D77" s="111">
        <f>'  (2)'!I81</f>
        <v>24828.436720519661</v>
      </c>
      <c r="E77" s="113">
        <f>'  (2)'!G81</f>
        <v>20691.165713816707</v>
      </c>
      <c r="F77" s="111">
        <f>'  (2)'!H81</f>
        <v>4137.2710067029529</v>
      </c>
      <c r="G77" s="113">
        <f>'  (2)'!P81</f>
        <v>0</v>
      </c>
      <c r="H77" s="105"/>
      <c r="I77" s="97" t="str">
        <f>'  (2)'!N81</f>
        <v/>
      </c>
      <c r="J77" s="105"/>
      <c r="K77" s="105"/>
      <c r="L77" s="105"/>
      <c r="M77" s="97" t="str">
        <f>' '!I81</f>
        <v/>
      </c>
      <c r="N77" s="97" t="str">
        <f>' '!J81</f>
        <v/>
      </c>
      <c r="O77" s="97" t="str">
        <f>' '!K81</f>
        <v xml:space="preserve"> </v>
      </c>
      <c r="P77" s="105"/>
      <c r="Q77" s="99" t="str">
        <f>'  (2)'!Q81</f>
        <v/>
      </c>
      <c r="R77" s="97" t="str">
        <f>'  (2)'!R81</f>
        <v/>
      </c>
    </row>
    <row r="78" spans="1:18" x14ac:dyDescent="0.25">
      <c r="A78" s="100">
        <f>'  (2)'!B82</f>
        <v>58</v>
      </c>
      <c r="B78" s="101">
        <f ca="1">'  (2)'!D82</f>
        <v>47401</v>
      </c>
      <c r="C78" s="100">
        <f ca="1">'  (2)'!E82</f>
        <v>30</v>
      </c>
      <c r="D78" s="111">
        <f>'  (2)'!I82</f>
        <v>24828.436720519658</v>
      </c>
      <c r="E78" s="113">
        <f>'  (2)'!G82</f>
        <v>21655.891315223409</v>
      </c>
      <c r="F78" s="111">
        <f>'  (2)'!H82</f>
        <v>3172.54540529625</v>
      </c>
      <c r="G78" s="113">
        <f>'  (2)'!P82</f>
        <v>0</v>
      </c>
      <c r="H78" s="105"/>
      <c r="I78" s="97" t="str">
        <f>'  (2)'!N82</f>
        <v/>
      </c>
      <c r="J78" s="105"/>
      <c r="K78" s="105"/>
      <c r="L78" s="105"/>
      <c r="M78" s="97" t="str">
        <f>' '!I82</f>
        <v/>
      </c>
      <c r="N78" s="97" t="str">
        <f>' '!J82</f>
        <v/>
      </c>
      <c r="O78" s="97" t="str">
        <f>' '!K82</f>
        <v xml:space="preserve"> </v>
      </c>
      <c r="P78" s="105"/>
      <c r="Q78" s="99" t="str">
        <f>'  (2)'!Q82</f>
        <v/>
      </c>
      <c r="R78" s="97" t="str">
        <f>'  (2)'!R82</f>
        <v/>
      </c>
    </row>
    <row r="79" spans="1:18" x14ac:dyDescent="0.25">
      <c r="A79" s="100">
        <f>'  (2)'!B83</f>
        <v>59</v>
      </c>
      <c r="B79" s="101">
        <f ca="1">'  (2)'!D83</f>
        <v>47432</v>
      </c>
      <c r="C79" s="100">
        <f ca="1">'  (2)'!E83</f>
        <v>31</v>
      </c>
      <c r="D79" s="111">
        <f>'  (2)'!I83</f>
        <v>24828.436720519658</v>
      </c>
      <c r="E79" s="113">
        <f>'  (2)'!G83</f>
        <v>22665.5972477957</v>
      </c>
      <c r="F79" s="111">
        <f>'  (2)'!H83</f>
        <v>2162.8394727239579</v>
      </c>
      <c r="G79" s="113">
        <f>'  (2)'!P83</f>
        <v>0</v>
      </c>
      <c r="H79" s="105"/>
      <c r="I79" s="97" t="str">
        <f>'  (2)'!N83</f>
        <v/>
      </c>
      <c r="J79" s="105"/>
      <c r="K79" s="105"/>
      <c r="L79" s="105"/>
      <c r="M79" s="97" t="str">
        <f>' '!I83</f>
        <v/>
      </c>
      <c r="N79" s="97" t="str">
        <f>' '!J83</f>
        <v/>
      </c>
      <c r="O79" s="97" t="str">
        <f>' '!K83</f>
        <v xml:space="preserve"> </v>
      </c>
      <c r="P79" s="105"/>
      <c r="Q79" s="99" t="str">
        <f>'  (2)'!Q83</f>
        <v/>
      </c>
      <c r="R79" s="97" t="str">
        <f>'  (2)'!R83</f>
        <v/>
      </c>
    </row>
    <row r="80" spans="1:18" x14ac:dyDescent="0.25">
      <c r="A80" s="100">
        <f>'  (2)'!B84</f>
        <v>60</v>
      </c>
      <c r="B80" s="101">
        <f ca="1">'  (2)'!D84</f>
        <v>47462</v>
      </c>
      <c r="C80" s="100">
        <f ca="1">'  (2)'!E84</f>
        <v>30</v>
      </c>
      <c r="D80" s="111">
        <f>'  (2)'!I84</f>
        <v>24828.436720519658</v>
      </c>
      <c r="E80" s="113">
        <f>'  (2)'!G84</f>
        <v>23722.380719474175</v>
      </c>
      <c r="F80" s="111">
        <f>'  (2)'!H84</f>
        <v>1106.0560010454833</v>
      </c>
      <c r="G80" s="113">
        <f>'  (2)'!P84</f>
        <v>0</v>
      </c>
      <c r="H80" s="105"/>
      <c r="I80" s="97" t="str">
        <f>'  (2)'!N84</f>
        <v/>
      </c>
      <c r="J80" s="105"/>
      <c r="K80" s="105"/>
      <c r="L80" s="105"/>
      <c r="M80" s="97" t="str">
        <f>' '!I84</f>
        <v/>
      </c>
      <c r="N80" s="97" t="str">
        <f>' '!J84</f>
        <v/>
      </c>
      <c r="O80" s="97" t="str">
        <f>' '!K84</f>
        <v xml:space="preserve"> </v>
      </c>
      <c r="P80" s="105"/>
      <c r="Q80" s="99" t="str">
        <f>'  (2)'!Q84</f>
        <v/>
      </c>
      <c r="R80" s="97" t="str">
        <f>'  (2)'!R84</f>
        <v/>
      </c>
    </row>
    <row r="81" spans="1:18" x14ac:dyDescent="0.25">
      <c r="A81" s="100"/>
      <c r="B81" s="126" t="s">
        <v>167</v>
      </c>
      <c r="C81" s="127"/>
      <c r="D81" s="128">
        <f>'  (2)'!I85</f>
        <v>1481039.11190603</v>
      </c>
      <c r="E81" s="129">
        <f>'  (2)'!G85</f>
        <v>499999.99999999988</v>
      </c>
      <c r="F81" s="128">
        <f>'  (2)'!H85</f>
        <v>981039.11190603115</v>
      </c>
      <c r="G81" s="129">
        <f>'  (2)'!P85</f>
        <v>0</v>
      </c>
      <c r="H81" s="130"/>
      <c r="I81" s="131">
        <f>'  (2)'!N85</f>
        <v>14750</v>
      </c>
      <c r="J81" s="130"/>
      <c r="K81" s="130"/>
      <c r="L81" s="130"/>
      <c r="M81" s="131">
        <f>' '!I85</f>
        <v>0</v>
      </c>
      <c r="N81" s="131">
        <f>' '!J85</f>
        <v>0</v>
      </c>
      <c r="O81" s="131">
        <f>' '!K85</f>
        <v>0</v>
      </c>
      <c r="P81" s="130"/>
      <c r="Q81" s="132">
        <f ca="1">'  (2)'!Q85</f>
        <v>0.74327713251113869</v>
      </c>
      <c r="R81" s="131">
        <f>'  (2)'!R85</f>
        <v>1495789.1119060311</v>
      </c>
    </row>
    <row r="82" spans="1:18" x14ac:dyDescent="0.25">
      <c r="A82" s="85"/>
      <c r="D82" s="86" t="str">
        <f>' '!H86</f>
        <v/>
      </c>
    </row>
    <row r="83" spans="1:18" x14ac:dyDescent="0.25">
      <c r="A83" s="199" t="s">
        <v>161</v>
      </c>
      <c r="B83" s="200"/>
      <c r="C83" s="200"/>
      <c r="D83" s="200"/>
      <c r="E83" s="200"/>
      <c r="F83" s="200"/>
      <c r="G83" s="200"/>
      <c r="H83" s="200"/>
      <c r="I83" s="200"/>
      <c r="J83" s="200"/>
      <c r="K83" s="200"/>
      <c r="L83" s="200"/>
      <c r="M83" s="200"/>
      <c r="N83" s="200"/>
      <c r="O83" s="200"/>
      <c r="P83" s="200"/>
      <c r="Q83" s="200"/>
      <c r="R83" s="201"/>
    </row>
    <row r="84" spans="1:18" x14ac:dyDescent="0.25">
      <c r="A84" s="202"/>
      <c r="B84" s="203"/>
      <c r="C84" s="203"/>
      <c r="D84" s="203"/>
      <c r="E84" s="203"/>
      <c r="F84" s="203"/>
      <c r="G84" s="203"/>
      <c r="H84" s="203"/>
      <c r="I84" s="203"/>
      <c r="J84" s="203"/>
      <c r="K84" s="203"/>
      <c r="L84" s="203"/>
      <c r="M84" s="203"/>
      <c r="N84" s="203"/>
      <c r="O84" s="203"/>
      <c r="P84" s="203"/>
      <c r="Q84" s="203"/>
      <c r="R84" s="204"/>
    </row>
    <row r="85" spans="1:18" ht="15" customHeight="1" x14ac:dyDescent="0.25">
      <c r="A85" s="202"/>
      <c r="B85" s="203"/>
      <c r="C85" s="203"/>
      <c r="D85" s="203"/>
      <c r="E85" s="203"/>
      <c r="F85" s="203"/>
      <c r="G85" s="203"/>
      <c r="H85" s="203"/>
      <c r="I85" s="203"/>
      <c r="J85" s="203"/>
      <c r="K85" s="203"/>
      <c r="L85" s="203"/>
      <c r="M85" s="203"/>
      <c r="N85" s="203"/>
      <c r="O85" s="203"/>
      <c r="P85" s="203"/>
      <c r="Q85" s="203"/>
      <c r="R85" s="204"/>
    </row>
    <row r="86" spans="1:18" ht="15" customHeight="1" x14ac:dyDescent="0.25">
      <c r="A86" s="202"/>
      <c r="B86" s="203"/>
      <c r="C86" s="203"/>
      <c r="D86" s="203"/>
      <c r="E86" s="203"/>
      <c r="F86" s="203"/>
      <c r="G86" s="203"/>
      <c r="H86" s="203"/>
      <c r="I86" s="203"/>
      <c r="J86" s="203"/>
      <c r="K86" s="203"/>
      <c r="L86" s="203"/>
      <c r="M86" s="203"/>
      <c r="N86" s="203"/>
      <c r="O86" s="203"/>
      <c r="P86" s="203"/>
      <c r="Q86" s="203"/>
      <c r="R86" s="204"/>
    </row>
    <row r="87" spans="1:18" ht="15" customHeight="1" x14ac:dyDescent="0.25">
      <c r="A87" s="205"/>
      <c r="B87" s="206"/>
      <c r="C87" s="206"/>
      <c r="D87" s="206"/>
      <c r="E87" s="206"/>
      <c r="F87" s="206"/>
      <c r="G87" s="206"/>
      <c r="H87" s="206"/>
      <c r="I87" s="206"/>
      <c r="J87" s="206"/>
      <c r="K87" s="206"/>
      <c r="L87" s="206"/>
      <c r="M87" s="206"/>
      <c r="N87" s="206"/>
      <c r="O87" s="206"/>
      <c r="P87" s="206"/>
      <c r="Q87" s="206"/>
      <c r="R87" s="207"/>
    </row>
  </sheetData>
  <sheetProtection algorithmName="SHA-512" hashValue="v6av2xG+vz3QFzAO5YGHnsVWaPHx6Vwv9L+EkIMQXpYR+heNHXhaOmBAzjU85gXrBlT9tT9gqtz6kUIlcXpgzA==" saltValue="ArRVML0hp3tdB0NxvJ+B5A==" spinCount="100000" sheet="1" objects="1" scenarios="1"/>
  <protectedRanges>
    <protectedRange password="CC39" sqref="C7:C8" name="Диапазон1"/>
  </protectedRanges>
  <mergeCells count="28">
    <mergeCell ref="A8:B8"/>
    <mergeCell ref="E8:G8"/>
    <mergeCell ref="A3:H3"/>
    <mergeCell ref="A6:B6"/>
    <mergeCell ref="E6:G6"/>
    <mergeCell ref="A7:B7"/>
    <mergeCell ref="E7:G7"/>
    <mergeCell ref="A9:B9"/>
    <mergeCell ref="E9:G9"/>
    <mergeCell ref="A10:B10"/>
    <mergeCell ref="E10:G10"/>
    <mergeCell ref="A11:B11"/>
    <mergeCell ref="E11:G11"/>
    <mergeCell ref="A83:R87"/>
    <mergeCell ref="A14:R14"/>
    <mergeCell ref="A15:A18"/>
    <mergeCell ref="B15:B18"/>
    <mergeCell ref="C15:C18"/>
    <mergeCell ref="D15:D18"/>
    <mergeCell ref="E15:P15"/>
    <mergeCell ref="Q15:Q18"/>
    <mergeCell ref="R15:R18"/>
    <mergeCell ref="E16:E18"/>
    <mergeCell ref="F16:F18"/>
    <mergeCell ref="G16:P16"/>
    <mergeCell ref="G17:J17"/>
    <mergeCell ref="K17:L17"/>
    <mergeCell ref="M17:P17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8F85B898-85E5-4F99-A519-52AFB0CB37E6}">
          <x14:formula1>
            <xm:f>Лист1!$A$1:$A$5</xm:f>
          </x14:formula1>
          <xm:sqref>C8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5"/>
  <sheetViews>
    <sheetView workbookViewId="0">
      <selection activeCell="A6" sqref="A6"/>
    </sheetView>
  </sheetViews>
  <sheetFormatPr defaultRowHeight="15" x14ac:dyDescent="0.25"/>
  <sheetData>
    <row r="1" spans="1:1" ht="14.45" x14ac:dyDescent="0.25">
      <c r="A1">
        <v>12</v>
      </c>
    </row>
    <row r="2" spans="1:1" ht="14.45" x14ac:dyDescent="0.25">
      <c r="A2">
        <v>24</v>
      </c>
    </row>
    <row r="3" spans="1:1" ht="14.45" x14ac:dyDescent="0.25">
      <c r="A3">
        <v>36</v>
      </c>
    </row>
    <row r="4" spans="1:1" x14ac:dyDescent="0.25">
      <c r="A4">
        <v>48</v>
      </c>
    </row>
    <row r="5" spans="1:1" x14ac:dyDescent="0.25">
      <c r="A5">
        <v>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3</vt:i4>
      </vt:variant>
    </vt:vector>
  </HeadingPairs>
  <TitlesOfParts>
    <vt:vector size="9" baseType="lpstr">
      <vt:lpstr>паспорт</vt:lpstr>
      <vt:lpstr>  (2)</vt:lpstr>
      <vt:lpstr> </vt:lpstr>
      <vt:lpstr>Графік платежів 1</vt:lpstr>
      <vt:lpstr>Графік платежів 2</vt:lpstr>
      <vt:lpstr>Лист1</vt:lpstr>
      <vt:lpstr>' '!Область_печати</vt:lpstr>
      <vt:lpstr>'  (2)'!Область_печати</vt:lpstr>
      <vt:lpstr>паспорт!Область_печати</vt:lpstr>
    </vt:vector>
  </TitlesOfParts>
  <Company>PJSC CB "PRAVEX-BANK"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Shpakivskyi Oleksandr Mykhailovych</dc:creator>
  <cp:lastModifiedBy>Стефанюк Олена Вікторівна</cp:lastModifiedBy>
  <cp:lastPrinted>2021-01-29T09:27:21Z</cp:lastPrinted>
  <dcterms:created xsi:type="dcterms:W3CDTF">2017-10-13T07:54:03Z</dcterms:created>
  <dcterms:modified xsi:type="dcterms:W3CDTF">2024-12-13T09:01:43Z</dcterms:modified>
</cp:coreProperties>
</file>