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ПОТРЕБЫ\На сайт\Гроші на важливе\"/>
    </mc:Choice>
  </mc:AlternateContent>
  <xr:revisionPtr revIDLastSave="0" documentId="13_ncr:1_{2E85EDE4-C46D-49E8-9031-098BF6C6613F}" xr6:coauthVersionLast="47" xr6:coauthVersionMax="47" xr10:uidLastSave="{00000000-0000-0000-0000-000000000000}"/>
  <bookViews>
    <workbookView xWindow="-110" yWindow="-110" windowWidth="19420" windowHeight="10420" firstSheet="2" activeTab="2" xr2:uid="{00000000-000D-0000-FFFF-FFFF00000000}"/>
  </bookViews>
  <sheets>
    <sheet name="паспорт" sheetId="1" state="hidden" r:id="rId1"/>
    <sheet name=" " sheetId="3" state="hidden" r:id="rId2"/>
    <sheet name="графік платежів" sheetId="10" r:id="rId3"/>
    <sheet name="Лист1" sheetId="11" state="hidden" r:id="rId4"/>
  </sheets>
  <definedNames>
    <definedName name="_xlnm.Print_Area" localSheetId="1">' '!$A$1:$Q$265</definedName>
    <definedName name="_xlnm.Print_Area" localSheetId="0">паспорт!$A$1:$C$74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0" l="1"/>
  <c r="D5" i="10"/>
  <c r="N3" i="3" l="1"/>
  <c r="D8" i="3" l="1"/>
  <c r="D3" i="3" l="1"/>
  <c r="G8" i="3" l="1"/>
  <c r="A17" i="10"/>
  <c r="A16" i="10"/>
  <c r="R17" i="10"/>
  <c r="R18" i="10"/>
  <c r="R16" i="10"/>
  <c r="Q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30" i="10"/>
  <c r="O31" i="10"/>
  <c r="O32" i="10"/>
  <c r="O33" i="10"/>
  <c r="O34" i="10"/>
  <c r="O35" i="10"/>
  <c r="O36" i="10"/>
  <c r="O37" i="10"/>
  <c r="O38" i="10"/>
  <c r="O39" i="10"/>
  <c r="O40" i="10"/>
  <c r="O42" i="10"/>
  <c r="O43" i="10"/>
  <c r="O44" i="10"/>
  <c r="O45" i="10"/>
  <c r="O46" i="10"/>
  <c r="O47" i="10"/>
  <c r="O48" i="10"/>
  <c r="O49" i="10"/>
  <c r="O50" i="10"/>
  <c r="O51" i="10"/>
  <c r="O52" i="10"/>
  <c r="O54" i="10"/>
  <c r="O55" i="10"/>
  <c r="O56" i="10"/>
  <c r="O57" i="10"/>
  <c r="O58" i="10"/>
  <c r="O59" i="10"/>
  <c r="O60" i="10"/>
  <c r="O61" i="10"/>
  <c r="O62" i="10"/>
  <c r="O63" i="10"/>
  <c r="O64" i="10"/>
  <c r="O66" i="10"/>
  <c r="O67" i="10"/>
  <c r="O68" i="10"/>
  <c r="O69" i="10"/>
  <c r="O70" i="10"/>
  <c r="O71" i="10"/>
  <c r="O72" i="10"/>
  <c r="O73" i="10"/>
  <c r="O74" i="10"/>
  <c r="O75" i="10"/>
  <c r="O76" i="10"/>
  <c r="N17" i="10"/>
  <c r="N18" i="10"/>
  <c r="N19" i="10"/>
  <c r="N20" i="10"/>
  <c r="M17" i="10"/>
  <c r="M18" i="10"/>
  <c r="M19" i="10"/>
  <c r="M20" i="10"/>
  <c r="I17" i="10"/>
  <c r="I18" i="10"/>
  <c r="I19" i="10"/>
  <c r="I20" i="10"/>
  <c r="I21" i="10"/>
  <c r="N10" i="3"/>
  <c r="N9" i="3"/>
  <c r="N8" i="3"/>
  <c r="N7" i="3"/>
  <c r="N5" i="3"/>
  <c r="B38" i="1" s="1"/>
  <c r="D9" i="3"/>
  <c r="D6" i="3"/>
  <c r="O10" i="3" l="1"/>
  <c r="G9" i="3"/>
  <c r="O26" i="3"/>
  <c r="G18" i="10" s="1"/>
  <c r="P26" i="3" l="1"/>
  <c r="Q18" i="10" s="1"/>
  <c r="B24" i="3" l="1"/>
  <c r="C24" i="3" s="1"/>
  <c r="P25" i="3" s="1"/>
  <c r="Q17" i="10" s="1"/>
  <c r="A26" i="3"/>
  <c r="A18" i="10" s="1"/>
  <c r="J24" i="3"/>
  <c r="N16" i="10" s="1"/>
  <c r="O27" i="3" l="1"/>
  <c r="G19" i="10" s="1"/>
  <c r="A27" i="3"/>
  <c r="A19" i="10" s="1"/>
  <c r="Q27" i="3"/>
  <c r="P27" i="3"/>
  <c r="Q19" i="10" s="1"/>
  <c r="L24" i="3"/>
  <c r="R19" i="10" l="1"/>
  <c r="O28" i="3"/>
  <c r="G20" i="10" s="1"/>
  <c r="B27" i="3"/>
  <c r="C27" i="3" s="1"/>
  <c r="A28" i="3"/>
  <c r="A20" i="10" s="1"/>
  <c r="P28" i="3"/>
  <c r="Q20" i="10" s="1"/>
  <c r="Q28" i="3"/>
  <c r="R20" i="10" s="1"/>
  <c r="N24" i="3"/>
  <c r="B28" i="3" l="1"/>
  <c r="C28" i="3" s="1"/>
  <c r="O29" i="3"/>
  <c r="G21" i="10" s="1"/>
  <c r="A29" i="3"/>
  <c r="M30" i="3" s="1"/>
  <c r="I22" i="10" s="1"/>
  <c r="Q29" i="3"/>
  <c r="P29" i="3"/>
  <c r="Q21" i="10" s="1"/>
  <c r="N29" i="3"/>
  <c r="D53" i="1"/>
  <c r="R21" i="10" l="1"/>
  <c r="B29" i="3"/>
  <c r="C29" i="3" s="1"/>
  <c r="J29" i="3"/>
  <c r="A21" i="10"/>
  <c r="N30" i="3"/>
  <c r="O30" i="3"/>
  <c r="G22" i="10" s="1"/>
  <c r="A30" i="3"/>
  <c r="D51" i="1"/>
  <c r="J30" i="3" l="1"/>
  <c r="A22" i="10"/>
  <c r="B30" i="3"/>
  <c r="C30" i="3" s="1"/>
  <c r="O31" i="3"/>
  <c r="G23" i="10" s="1"/>
  <c r="A31" i="3"/>
  <c r="N31" i="3"/>
  <c r="M31" i="3"/>
  <c r="I23" i="10" s="1"/>
  <c r="D68" i="1"/>
  <c r="D69" i="1" s="1"/>
  <c r="B67" i="1" s="1"/>
  <c r="J31" i="3" l="1"/>
  <c r="A23" i="10"/>
  <c r="B31" i="3"/>
  <c r="C31" i="3" s="1"/>
  <c r="O32" i="3"/>
  <c r="G24" i="10" s="1"/>
  <c r="A32" i="3"/>
  <c r="N32" i="3"/>
  <c r="M32" i="3"/>
  <c r="I24" i="10" s="1"/>
  <c r="A67" i="1"/>
  <c r="J32" i="3" l="1"/>
  <c r="A24" i="10"/>
  <c r="B32" i="3"/>
  <c r="C32" i="3" s="1"/>
  <c r="O33" i="3"/>
  <c r="G25" i="10" s="1"/>
  <c r="A33" i="3"/>
  <c r="A25" i="10" s="1"/>
  <c r="M33" i="3"/>
  <c r="I25" i="10" s="1"/>
  <c r="N33" i="3"/>
  <c r="A34" i="3" l="1"/>
  <c r="A35" i="3" s="1"/>
  <c r="A27" i="10" s="1"/>
  <c r="J33" i="3"/>
  <c r="O34" i="3"/>
  <c r="G26" i="10" s="1"/>
  <c r="N34" i="3"/>
  <c r="M34" i="3"/>
  <c r="I26" i="10" s="1"/>
  <c r="B33" i="3"/>
  <c r="C33" i="3" s="1"/>
  <c r="P3" i="3"/>
  <c r="B37" i="1" s="1"/>
  <c r="O35" i="3" l="1"/>
  <c r="G27" i="10" s="1"/>
  <c r="J34" i="3"/>
  <c r="A26" i="10"/>
  <c r="N35" i="3"/>
  <c r="J35" i="3"/>
  <c r="N27" i="10" s="1"/>
  <c r="M35" i="3"/>
  <c r="I27" i="10" s="1"/>
  <c r="B34" i="3"/>
  <c r="C34" i="3" s="1"/>
  <c r="O36" i="3"/>
  <c r="G28" i="10" s="1"/>
  <c r="B35" i="3"/>
  <c r="C35" i="3" s="1"/>
  <c r="N36" i="3"/>
  <c r="M36" i="3"/>
  <c r="I28" i="10" s="1"/>
  <c r="A36" i="3"/>
  <c r="E12" i="3"/>
  <c r="O8" i="3"/>
  <c r="A28" i="10" l="1"/>
  <c r="J36" i="3"/>
  <c r="N28" i="10" s="1"/>
  <c r="B36" i="3"/>
  <c r="C36" i="3" s="1"/>
  <c r="N37" i="3"/>
  <c r="A37" i="3"/>
  <c r="J37" i="3" l="1"/>
  <c r="N29" i="10" s="1"/>
  <c r="A29" i="10"/>
  <c r="J38" i="3"/>
  <c r="B37" i="3"/>
  <c r="C37" i="3" s="1"/>
  <c r="O38" i="3"/>
  <c r="G30" i="10" s="1"/>
  <c r="Q38" i="3"/>
  <c r="R30" i="10" s="1"/>
  <c r="P38" i="3"/>
  <c r="Q30" i="10" s="1"/>
  <c r="N38" i="3"/>
  <c r="M38" i="3"/>
  <c r="I30" i="10" s="1"/>
  <c r="A38" i="3"/>
  <c r="A30" i="10" s="1"/>
  <c r="E51" i="1"/>
  <c r="B51" i="1" s="1"/>
  <c r="E53" i="1"/>
  <c r="B53" i="1" s="1"/>
  <c r="E24" i="1"/>
  <c r="B24" i="1" s="1"/>
  <c r="N30" i="10" l="1"/>
  <c r="J39" i="3"/>
  <c r="B38" i="3"/>
  <c r="C38" i="3" s="1"/>
  <c r="O39" i="3"/>
  <c r="G31" i="10" s="1"/>
  <c r="Q39" i="3"/>
  <c r="R31" i="10" s="1"/>
  <c r="P39" i="3"/>
  <c r="Q31" i="10" s="1"/>
  <c r="N39" i="3"/>
  <c r="M39" i="3"/>
  <c r="I31" i="10" s="1"/>
  <c r="A39" i="3"/>
  <c r="A31" i="10" s="1"/>
  <c r="N31" i="10" l="1"/>
  <c r="J40" i="3"/>
  <c r="B39" i="3"/>
  <c r="C39" i="3" s="1"/>
  <c r="O40" i="3"/>
  <c r="G32" i="10" s="1"/>
  <c r="Q40" i="3"/>
  <c r="R32" i="10" s="1"/>
  <c r="P40" i="3"/>
  <c r="Q32" i="10" s="1"/>
  <c r="N40" i="3"/>
  <c r="M40" i="3"/>
  <c r="I32" i="10" s="1"/>
  <c r="A40" i="3"/>
  <c r="A32" i="10" s="1"/>
  <c r="P9" i="3"/>
  <c r="N32" i="10" l="1"/>
  <c r="J41" i="3"/>
  <c r="B40" i="3"/>
  <c r="C40" i="3" s="1"/>
  <c r="O41" i="3"/>
  <c r="G33" i="10" s="1"/>
  <c r="E24" i="3"/>
  <c r="Q41" i="3"/>
  <c r="R33" i="10" s="1"/>
  <c r="P41" i="3"/>
  <c r="Q33" i="10" s="1"/>
  <c r="M41" i="3"/>
  <c r="I33" i="10" s="1"/>
  <c r="N41" i="3"/>
  <c r="A41" i="3"/>
  <c r="A33" i="10" s="1"/>
  <c r="P4" i="3"/>
  <c r="N4" i="3"/>
  <c r="S265" i="3"/>
  <c r="N33" i="10" l="1"/>
  <c r="J42" i="3"/>
  <c r="B41" i="3"/>
  <c r="C41" i="3" s="1"/>
  <c r="O42" i="3"/>
  <c r="G34" i="10" s="1"/>
  <c r="Q42" i="3"/>
  <c r="R34" i="10" s="1"/>
  <c r="P42" i="3"/>
  <c r="Q34" i="10" s="1"/>
  <c r="N42" i="3"/>
  <c r="M42" i="3"/>
  <c r="I34" i="10" s="1"/>
  <c r="A42" i="3"/>
  <c r="A34" i="10" s="1"/>
  <c r="K24" i="3"/>
  <c r="O16" i="10" s="1"/>
  <c r="Y2" i="3"/>
  <c r="N34" i="10" l="1"/>
  <c r="J43" i="3"/>
  <c r="B42" i="3"/>
  <c r="C42" i="3" s="1"/>
  <c r="O43" i="3"/>
  <c r="G35" i="10" s="1"/>
  <c r="P43" i="3"/>
  <c r="Q35" i="10" s="1"/>
  <c r="N43" i="3"/>
  <c r="Q43" i="3"/>
  <c r="R35" i="10" s="1"/>
  <c r="M43" i="3"/>
  <c r="I35" i="10" s="1"/>
  <c r="A43" i="3"/>
  <c r="A35" i="10" s="1"/>
  <c r="Z2" i="3"/>
  <c r="N35" i="10" l="1"/>
  <c r="J44" i="3"/>
  <c r="B43" i="3"/>
  <c r="C43" i="3" s="1"/>
  <c r="O44" i="3"/>
  <c r="G36" i="10" s="1"/>
  <c r="Q44" i="3"/>
  <c r="R36" i="10" s="1"/>
  <c r="P44" i="3"/>
  <c r="Q36" i="10" s="1"/>
  <c r="N44" i="3"/>
  <c r="M44" i="3"/>
  <c r="I36" i="10" s="1"/>
  <c r="A44" i="3"/>
  <c r="A36" i="10" s="1"/>
  <c r="B39" i="1"/>
  <c r="N36" i="10" l="1"/>
  <c r="J45" i="3"/>
  <c r="B44" i="3"/>
  <c r="C44" i="3" s="1"/>
  <c r="O45" i="3"/>
  <c r="G37" i="10" s="1"/>
  <c r="Q45" i="3"/>
  <c r="R37" i="10" s="1"/>
  <c r="M45" i="3"/>
  <c r="I37" i="10" s="1"/>
  <c r="P45" i="3"/>
  <c r="Q37" i="10" s="1"/>
  <c r="N45" i="3"/>
  <c r="A45" i="3"/>
  <c r="A37" i="10" s="1"/>
  <c r="N37" i="10" l="1"/>
  <c r="J46" i="3"/>
  <c r="B45" i="3"/>
  <c r="C45" i="3" s="1"/>
  <c r="O46" i="3"/>
  <c r="G38" i="10" s="1"/>
  <c r="Q46" i="3"/>
  <c r="R38" i="10" s="1"/>
  <c r="P46" i="3"/>
  <c r="Q38" i="10" s="1"/>
  <c r="N46" i="3"/>
  <c r="M46" i="3"/>
  <c r="I38" i="10" s="1"/>
  <c r="A46" i="3"/>
  <c r="A38" i="10" s="1"/>
  <c r="N38" i="10" l="1"/>
  <c r="J47" i="3"/>
  <c r="B46" i="3"/>
  <c r="C46" i="3" s="1"/>
  <c r="O47" i="3"/>
  <c r="G39" i="10" s="1"/>
  <c r="Q47" i="3"/>
  <c r="R39" i="10" s="1"/>
  <c r="P47" i="3"/>
  <c r="Q39" i="10" s="1"/>
  <c r="N47" i="3"/>
  <c r="M47" i="3"/>
  <c r="I39" i="10" s="1"/>
  <c r="A47" i="3"/>
  <c r="A39" i="10" s="1"/>
  <c r="N39" i="10" l="1"/>
  <c r="J48" i="3"/>
  <c r="B47" i="3"/>
  <c r="C47" i="3" s="1"/>
  <c r="O48" i="3"/>
  <c r="G40" i="10" s="1"/>
  <c r="Q48" i="3"/>
  <c r="R40" i="10" s="1"/>
  <c r="P48" i="3"/>
  <c r="Q40" i="10" s="1"/>
  <c r="N48" i="3"/>
  <c r="M48" i="3"/>
  <c r="I40" i="10" s="1"/>
  <c r="A48" i="3"/>
  <c r="P12" i="3"/>
  <c r="A40" i="10" l="1"/>
  <c r="J49" i="3"/>
  <c r="N40" i="10"/>
  <c r="B48" i="3"/>
  <c r="C48" i="3" s="1"/>
  <c r="O49" i="3"/>
  <c r="G41" i="10" s="1"/>
  <c r="N49" i="3"/>
  <c r="A49" i="3"/>
  <c r="A41" i="10" s="1"/>
  <c r="D10" i="3"/>
  <c r="B39" i="10" s="1"/>
  <c r="P8" i="3"/>
  <c r="M24" i="3" s="1"/>
  <c r="M49" i="3" s="1"/>
  <c r="I41" i="10" s="1"/>
  <c r="AC10" i="3"/>
  <c r="AC15" i="3" s="1"/>
  <c r="B33" i="1"/>
  <c r="B23" i="1"/>
  <c r="B40" i="10" l="1"/>
  <c r="B19" i="10"/>
  <c r="B20" i="10"/>
  <c r="B21" i="10"/>
  <c r="B22" i="10"/>
  <c r="B23" i="10"/>
  <c r="B24" i="10"/>
  <c r="B25" i="10"/>
  <c r="B27" i="10"/>
  <c r="B26" i="10"/>
  <c r="B28" i="10"/>
  <c r="B29" i="10"/>
  <c r="B30" i="10"/>
  <c r="B31" i="10"/>
  <c r="B32" i="10"/>
  <c r="B33" i="10"/>
  <c r="B34" i="10"/>
  <c r="B35" i="10"/>
  <c r="B36" i="10"/>
  <c r="B37" i="10"/>
  <c r="B38" i="10"/>
  <c r="N41" i="10"/>
  <c r="J50" i="3"/>
  <c r="M37" i="3"/>
  <c r="I29" i="10" s="1"/>
  <c r="I16" i="10"/>
  <c r="B49" i="3"/>
  <c r="O50" i="3"/>
  <c r="G42" i="10" s="1"/>
  <c r="Q50" i="3"/>
  <c r="R42" i="10" s="1"/>
  <c r="P50" i="3"/>
  <c r="Q42" i="10" s="1"/>
  <c r="N50" i="3"/>
  <c r="M50" i="3"/>
  <c r="I42" i="10" s="1"/>
  <c r="A50" i="3"/>
  <c r="A42" i="10" s="1"/>
  <c r="C49" i="3" l="1"/>
  <c r="B41" i="10" s="1"/>
  <c r="N42" i="10"/>
  <c r="J51" i="3"/>
  <c r="B50" i="3"/>
  <c r="O51" i="3"/>
  <c r="G43" i="10" s="1"/>
  <c r="P51" i="3"/>
  <c r="Q43" i="10" s="1"/>
  <c r="Q51" i="3"/>
  <c r="R43" i="10" s="1"/>
  <c r="N51" i="3"/>
  <c r="M51" i="3"/>
  <c r="I43" i="10" s="1"/>
  <c r="A51" i="3"/>
  <c r="A43" i="10" s="1"/>
  <c r="C50" i="3" l="1"/>
  <c r="B42" i="10" s="1"/>
  <c r="N43" i="10"/>
  <c r="J52" i="3"/>
  <c r="B51" i="3"/>
  <c r="O52" i="3"/>
  <c r="G44" i="10" s="1"/>
  <c r="Q52" i="3"/>
  <c r="R44" i="10" s="1"/>
  <c r="P52" i="3"/>
  <c r="Q44" i="10" s="1"/>
  <c r="N52" i="3"/>
  <c r="M52" i="3"/>
  <c r="I44" i="10" s="1"/>
  <c r="A52" i="3"/>
  <c r="A44" i="10" s="1"/>
  <c r="B25" i="3"/>
  <c r="C25" i="3" s="1"/>
  <c r="B26" i="3"/>
  <c r="C26" i="3" l="1"/>
  <c r="B18" i="10" s="1"/>
  <c r="C51" i="3"/>
  <c r="B43" i="10" s="1"/>
  <c r="B17" i="10"/>
  <c r="S26" i="3"/>
  <c r="T26" i="3" s="1"/>
  <c r="N44" i="10"/>
  <c r="J53" i="3"/>
  <c r="B52" i="3"/>
  <c r="O53" i="3"/>
  <c r="G45" i="10" s="1"/>
  <c r="Q53" i="3"/>
  <c r="R45" i="10" s="1"/>
  <c r="M53" i="3"/>
  <c r="I45" i="10" s="1"/>
  <c r="P53" i="3"/>
  <c r="Q45" i="10" s="1"/>
  <c r="N53" i="3"/>
  <c r="A53" i="3"/>
  <c r="A45" i="10" s="1"/>
  <c r="S27" i="3"/>
  <c r="T27" i="3" s="1"/>
  <c r="D25" i="3"/>
  <c r="C17" i="10" s="1"/>
  <c r="D26" i="3"/>
  <c r="C18" i="10" s="1"/>
  <c r="D27" i="3"/>
  <c r="C19" i="10" s="1"/>
  <c r="C52" i="3" l="1"/>
  <c r="B44" i="10" s="1"/>
  <c r="S25" i="3"/>
  <c r="T25" i="3" s="1"/>
  <c r="T24" i="3" s="1"/>
  <c r="G25" i="3" s="1"/>
  <c r="F17" i="10" s="1"/>
  <c r="N45" i="10"/>
  <c r="J54" i="3"/>
  <c r="B53" i="3"/>
  <c r="O54" i="3"/>
  <c r="G46" i="10" s="1"/>
  <c r="Q54" i="3"/>
  <c r="R46" i="10" s="1"/>
  <c r="P54" i="3"/>
  <c r="Q46" i="10" s="1"/>
  <c r="N54" i="3"/>
  <c r="M54" i="3"/>
  <c r="I46" i="10" s="1"/>
  <c r="A54" i="3"/>
  <c r="A46" i="10" s="1"/>
  <c r="I29" i="3"/>
  <c r="U26" i="3"/>
  <c r="V26" i="3" s="1"/>
  <c r="W26" i="3" s="1"/>
  <c r="U27" i="3"/>
  <c r="V27" i="3" s="1"/>
  <c r="W27" i="3" s="1"/>
  <c r="D28" i="3"/>
  <c r="C20" i="10" s="1"/>
  <c r="U25" i="3"/>
  <c r="V25" i="3" s="1"/>
  <c r="W25" i="3" s="1"/>
  <c r="S28" i="3"/>
  <c r="T28" i="3" s="1"/>
  <c r="U28" i="3"/>
  <c r="V28" i="3" s="1"/>
  <c r="C53" i="3" l="1"/>
  <c r="B45" i="10" s="1"/>
  <c r="N46" i="10"/>
  <c r="J55" i="3"/>
  <c r="M21" i="10"/>
  <c r="N21" i="10"/>
  <c r="F25" i="3"/>
  <c r="B54" i="3"/>
  <c r="O55" i="3"/>
  <c r="G47" i="10" s="1"/>
  <c r="Q55" i="3"/>
  <c r="R47" i="10" s="1"/>
  <c r="P55" i="3"/>
  <c r="Q47" i="10" s="1"/>
  <c r="N55" i="3"/>
  <c r="M55" i="3"/>
  <c r="I47" i="10" s="1"/>
  <c r="A55" i="3"/>
  <c r="A47" i="10" s="1"/>
  <c r="L30" i="3"/>
  <c r="I30" i="3"/>
  <c r="W28" i="3"/>
  <c r="D29" i="3"/>
  <c r="C21" i="10" s="1"/>
  <c r="C54" i="3" l="1"/>
  <c r="B46" i="10" s="1"/>
  <c r="N47" i="10"/>
  <c r="J56" i="3"/>
  <c r="N22" i="10"/>
  <c r="M22" i="10"/>
  <c r="E17" i="10"/>
  <c r="E25" i="3"/>
  <c r="G26" i="3" s="1"/>
  <c r="B55" i="3"/>
  <c r="O56" i="3"/>
  <c r="G48" i="10" s="1"/>
  <c r="Q56" i="3"/>
  <c r="R48" i="10" s="1"/>
  <c r="P56" i="3"/>
  <c r="Q48" i="10" s="1"/>
  <c r="N56" i="3"/>
  <c r="M56" i="3"/>
  <c r="I48" i="10" s="1"/>
  <c r="A56" i="3"/>
  <c r="A48" i="10" s="1"/>
  <c r="L31" i="3"/>
  <c r="I31" i="3"/>
  <c r="S29" i="3"/>
  <c r="T29" i="3" s="1"/>
  <c r="U29" i="3"/>
  <c r="V29" i="3" s="1"/>
  <c r="W29" i="3" s="1"/>
  <c r="D30" i="3"/>
  <c r="C22" i="10" s="1"/>
  <c r="C55" i="3" l="1"/>
  <c r="B47" i="10" s="1"/>
  <c r="N48" i="10"/>
  <c r="J57" i="3"/>
  <c r="N23" i="10"/>
  <c r="M23" i="10"/>
  <c r="F26" i="3"/>
  <c r="E18" i="10" s="1"/>
  <c r="F18" i="10"/>
  <c r="B56" i="3"/>
  <c r="O57" i="3"/>
  <c r="G49" i="10" s="1"/>
  <c r="Q57" i="3"/>
  <c r="R49" i="10" s="1"/>
  <c r="P57" i="3"/>
  <c r="Q49" i="10" s="1"/>
  <c r="M57" i="3"/>
  <c r="I49" i="10" s="1"/>
  <c r="N57" i="3"/>
  <c r="A57" i="3"/>
  <c r="A49" i="10" s="1"/>
  <c r="L32" i="3"/>
  <c r="I32" i="3"/>
  <c r="U30" i="3"/>
  <c r="V30" i="3" s="1"/>
  <c r="W30" i="3" s="1"/>
  <c r="S30" i="3"/>
  <c r="T30" i="3" s="1"/>
  <c r="S31" i="3"/>
  <c r="T31" i="3" s="1"/>
  <c r="D31" i="3"/>
  <c r="C23" i="10" s="1"/>
  <c r="C56" i="3" l="1"/>
  <c r="B48" i="10" s="1"/>
  <c r="N49" i="10"/>
  <c r="J58" i="3"/>
  <c r="M24" i="10"/>
  <c r="N24" i="10"/>
  <c r="E26" i="3"/>
  <c r="G27" i="3" s="1"/>
  <c r="F19" i="10" s="1"/>
  <c r="H26" i="3"/>
  <c r="B57" i="3"/>
  <c r="O58" i="3"/>
  <c r="G50" i="10" s="1"/>
  <c r="Q58" i="3"/>
  <c r="R50" i="10" s="1"/>
  <c r="P58" i="3"/>
  <c r="Q50" i="10" s="1"/>
  <c r="N58" i="3"/>
  <c r="M58" i="3"/>
  <c r="I50" i="10" s="1"/>
  <c r="A58" i="3"/>
  <c r="A50" i="10" s="1"/>
  <c r="L33" i="3"/>
  <c r="I33" i="3"/>
  <c r="U31" i="3"/>
  <c r="V31" i="3" s="1"/>
  <c r="W31" i="3" s="1"/>
  <c r="U32" i="3"/>
  <c r="V32" i="3" s="1"/>
  <c r="D32" i="3"/>
  <c r="C24" i="10" s="1"/>
  <c r="C57" i="3" l="1"/>
  <c r="B49" i="10" s="1"/>
  <c r="R26" i="3"/>
  <c r="N50" i="10"/>
  <c r="J59" i="3"/>
  <c r="N25" i="10"/>
  <c r="M25" i="10"/>
  <c r="F27" i="3"/>
  <c r="H27" i="3" s="1"/>
  <c r="D19" i="10" s="1"/>
  <c r="D18" i="10"/>
  <c r="B58" i="3"/>
  <c r="O59" i="3"/>
  <c r="G51" i="10" s="1"/>
  <c r="P59" i="3"/>
  <c r="Q51" i="10" s="1"/>
  <c r="N59" i="3"/>
  <c r="Q59" i="3"/>
  <c r="R51" i="10" s="1"/>
  <c r="M59" i="3"/>
  <c r="I51" i="10" s="1"/>
  <c r="A59" i="3"/>
  <c r="A51" i="10" s="1"/>
  <c r="L34" i="3"/>
  <c r="I34" i="3"/>
  <c r="W32" i="3"/>
  <c r="S32" i="3"/>
  <c r="T32" i="3" s="1"/>
  <c r="D33" i="3"/>
  <c r="C25" i="10" s="1"/>
  <c r="C58" i="3" l="1"/>
  <c r="B50" i="10" s="1"/>
  <c r="N51" i="10"/>
  <c r="J60" i="3"/>
  <c r="M26" i="10"/>
  <c r="N26" i="10"/>
  <c r="E27" i="3"/>
  <c r="G28" i="3" s="1"/>
  <c r="F20" i="10" s="1"/>
  <c r="E19" i="10"/>
  <c r="B59" i="3"/>
  <c r="O60" i="3"/>
  <c r="G52" i="10" s="1"/>
  <c r="R27" i="3"/>
  <c r="Q60" i="3"/>
  <c r="R52" i="10" s="1"/>
  <c r="P60" i="3"/>
  <c r="Q52" i="10" s="1"/>
  <c r="N60" i="3"/>
  <c r="M60" i="3"/>
  <c r="I52" i="10" s="1"/>
  <c r="A60" i="3"/>
  <c r="L35" i="3"/>
  <c r="I35" i="3"/>
  <c r="S33" i="3"/>
  <c r="T33" i="3" s="1"/>
  <c r="U33" i="3"/>
  <c r="V33" i="3" s="1"/>
  <c r="W33" i="3" s="1"/>
  <c r="D34" i="3"/>
  <c r="C26" i="10" s="1"/>
  <c r="U34" i="3"/>
  <c r="V34" i="3" s="1"/>
  <c r="C59" i="3" l="1"/>
  <c r="B51" i="10" s="1"/>
  <c r="A52" i="10"/>
  <c r="J61" i="3"/>
  <c r="N52" i="10"/>
  <c r="M27" i="10"/>
  <c r="F28" i="3"/>
  <c r="B60" i="3"/>
  <c r="M61" i="3"/>
  <c r="I53" i="10" s="1"/>
  <c r="N61" i="3"/>
  <c r="A61" i="3"/>
  <c r="A53" i="10" s="1"/>
  <c r="L36" i="3"/>
  <c r="I36" i="3"/>
  <c r="W34" i="3"/>
  <c r="S34" i="3"/>
  <c r="T34" i="3" s="1"/>
  <c r="U35" i="3"/>
  <c r="V35" i="3" s="1"/>
  <c r="D35" i="3"/>
  <c r="C27" i="10" s="1"/>
  <c r="C60" i="3" l="1"/>
  <c r="B52" i="10" s="1"/>
  <c r="N53" i="10"/>
  <c r="J62" i="3"/>
  <c r="M28" i="10"/>
  <c r="H28" i="3"/>
  <c r="D20" i="10" s="1"/>
  <c r="E20" i="10"/>
  <c r="B61" i="3"/>
  <c r="O62" i="3"/>
  <c r="G54" i="10" s="1"/>
  <c r="E28" i="3"/>
  <c r="N62" i="3"/>
  <c r="M62" i="3"/>
  <c r="I54" i="10" s="1"/>
  <c r="A62" i="3"/>
  <c r="A54" i="10" s="1"/>
  <c r="L37" i="3"/>
  <c r="L38" i="3"/>
  <c r="I38" i="3"/>
  <c r="W35" i="3"/>
  <c r="S35" i="3"/>
  <c r="T35" i="3" s="1"/>
  <c r="D37" i="3"/>
  <c r="C29" i="10" s="1"/>
  <c r="U36" i="3"/>
  <c r="V36" i="3" s="1"/>
  <c r="D36" i="3"/>
  <c r="C28" i="10" s="1"/>
  <c r="C61" i="3" l="1"/>
  <c r="B53" i="10" s="1"/>
  <c r="N54" i="10"/>
  <c r="J63" i="3"/>
  <c r="M30" i="10"/>
  <c r="B62" i="3"/>
  <c r="O63" i="3"/>
  <c r="G55" i="10" s="1"/>
  <c r="R28" i="3"/>
  <c r="G29" i="3"/>
  <c r="F21" i="10" s="1"/>
  <c r="Q63" i="3"/>
  <c r="R55" i="10" s="1"/>
  <c r="P63" i="3"/>
  <c r="Q55" i="10" s="1"/>
  <c r="N63" i="3"/>
  <c r="M63" i="3"/>
  <c r="I55" i="10" s="1"/>
  <c r="A63" i="3"/>
  <c r="A55" i="10" s="1"/>
  <c r="L39" i="3"/>
  <c r="I39" i="3"/>
  <c r="W36" i="3"/>
  <c r="S36" i="3"/>
  <c r="T36" i="3" s="1"/>
  <c r="D38" i="3"/>
  <c r="C30" i="10" s="1"/>
  <c r="S37" i="3"/>
  <c r="T37" i="3" s="1"/>
  <c r="U37" i="3"/>
  <c r="V37" i="3" s="1"/>
  <c r="C62" i="3" l="1"/>
  <c r="B54" i="10" s="1"/>
  <c r="N55" i="10"/>
  <c r="J64" i="3"/>
  <c r="M31" i="10"/>
  <c r="F29" i="3"/>
  <c r="E21" i="10" s="1"/>
  <c r="B63" i="3"/>
  <c r="O64" i="3"/>
  <c r="G56" i="10" s="1"/>
  <c r="Q64" i="3"/>
  <c r="R56" i="10" s="1"/>
  <c r="P64" i="3"/>
  <c r="Q56" i="10" s="1"/>
  <c r="N64" i="3"/>
  <c r="M64" i="3"/>
  <c r="I56" i="10" s="1"/>
  <c r="A64" i="3"/>
  <c r="A56" i="10" s="1"/>
  <c r="L40" i="3"/>
  <c r="I40" i="3"/>
  <c r="W37" i="3"/>
  <c r="D39" i="3"/>
  <c r="C31" i="10" s="1"/>
  <c r="C63" i="3" l="1"/>
  <c r="B55" i="10" s="1"/>
  <c r="N56" i="10"/>
  <c r="J65" i="3"/>
  <c r="M32" i="10"/>
  <c r="H29" i="3"/>
  <c r="B64" i="3"/>
  <c r="O65" i="3"/>
  <c r="G57" i="10" s="1"/>
  <c r="P30" i="3"/>
  <c r="E29" i="3"/>
  <c r="Q65" i="3"/>
  <c r="R57" i="10" s="1"/>
  <c r="P65" i="3"/>
  <c r="Q57" i="10" s="1"/>
  <c r="M65" i="3"/>
  <c r="I57" i="10" s="1"/>
  <c r="N65" i="3"/>
  <c r="A65" i="3"/>
  <c r="A57" i="10" s="1"/>
  <c r="L41" i="3"/>
  <c r="I41" i="3"/>
  <c r="S38" i="3"/>
  <c r="T38" i="3" s="1"/>
  <c r="U38" i="3"/>
  <c r="V38" i="3" s="1"/>
  <c r="W38" i="3" s="1"/>
  <c r="U39" i="3"/>
  <c r="V39" i="3" s="1"/>
  <c r="D40" i="3"/>
  <c r="C32" i="10" s="1"/>
  <c r="C64" i="3" l="1"/>
  <c r="B56" i="10" s="1"/>
  <c r="D21" i="10"/>
  <c r="N57" i="10"/>
  <c r="J66" i="3"/>
  <c r="M33" i="10"/>
  <c r="Q22" i="10"/>
  <c r="B65" i="3"/>
  <c r="O66" i="3"/>
  <c r="G58" i="10" s="1"/>
  <c r="G30" i="3"/>
  <c r="F22" i="10" s="1"/>
  <c r="Q66" i="3"/>
  <c r="R58" i="10" s="1"/>
  <c r="P66" i="3"/>
  <c r="Q58" i="10" s="1"/>
  <c r="N66" i="3"/>
  <c r="M66" i="3"/>
  <c r="I58" i="10" s="1"/>
  <c r="A66" i="3"/>
  <c r="A58" i="10" s="1"/>
  <c r="L42" i="3"/>
  <c r="I42" i="3"/>
  <c r="S39" i="3"/>
  <c r="T39" i="3" s="1"/>
  <c r="D41" i="3"/>
  <c r="C33" i="10" s="1"/>
  <c r="C65" i="3" l="1"/>
  <c r="B57" i="10" s="1"/>
  <c r="N58" i="10"/>
  <c r="J67" i="3"/>
  <c r="M34" i="10"/>
  <c r="B66" i="3"/>
  <c r="O67" i="3"/>
  <c r="G59" i="10" s="1"/>
  <c r="F30" i="3"/>
  <c r="E22" i="10" s="1"/>
  <c r="P67" i="3"/>
  <c r="Q59" i="10" s="1"/>
  <c r="Q67" i="3"/>
  <c r="R59" i="10" s="1"/>
  <c r="N67" i="3"/>
  <c r="M67" i="3"/>
  <c r="I59" i="10" s="1"/>
  <c r="A67" i="3"/>
  <c r="A59" i="10" s="1"/>
  <c r="L43" i="3"/>
  <c r="I43" i="3"/>
  <c r="U40" i="3"/>
  <c r="V40" i="3" s="1"/>
  <c r="W39" i="3"/>
  <c r="S40" i="3"/>
  <c r="T40" i="3" s="1"/>
  <c r="D42" i="3"/>
  <c r="C34" i="10" s="1"/>
  <c r="C66" i="3" l="1"/>
  <c r="B58" i="10" s="1"/>
  <c r="N59" i="10"/>
  <c r="J68" i="3"/>
  <c r="M35" i="10"/>
  <c r="H30" i="3"/>
  <c r="B67" i="3"/>
  <c r="O68" i="3"/>
  <c r="G60" i="10" s="1"/>
  <c r="Q30" i="3"/>
  <c r="P31" i="3"/>
  <c r="E30" i="3"/>
  <c r="Q68" i="3"/>
  <c r="R60" i="10" s="1"/>
  <c r="P68" i="3"/>
  <c r="Q60" i="10" s="1"/>
  <c r="N68" i="3"/>
  <c r="M68" i="3"/>
  <c r="I60" i="10" s="1"/>
  <c r="A68" i="3"/>
  <c r="A60" i="10" s="1"/>
  <c r="L44" i="3"/>
  <c r="I44" i="3"/>
  <c r="U41" i="3"/>
  <c r="V41" i="3" s="1"/>
  <c r="W41" i="3" s="1"/>
  <c r="S41" i="3"/>
  <c r="T41" i="3" s="1"/>
  <c r="W40" i="3"/>
  <c r="D43" i="3"/>
  <c r="C35" i="10" s="1"/>
  <c r="C67" i="3" l="1"/>
  <c r="B59" i="10" s="1"/>
  <c r="D22" i="10"/>
  <c r="N60" i="10"/>
  <c r="J69" i="3"/>
  <c r="Q23" i="10"/>
  <c r="M36" i="10"/>
  <c r="R22" i="10"/>
  <c r="B68" i="3"/>
  <c r="O69" i="3"/>
  <c r="G61" i="10" s="1"/>
  <c r="G31" i="3"/>
  <c r="F23" i="10" s="1"/>
  <c r="Q69" i="3"/>
  <c r="R61" i="10" s="1"/>
  <c r="M69" i="3"/>
  <c r="I61" i="10" s="1"/>
  <c r="P69" i="3"/>
  <c r="Q61" i="10" s="1"/>
  <c r="N69" i="3"/>
  <c r="A69" i="3"/>
  <c r="A61" i="10" s="1"/>
  <c r="L45" i="3"/>
  <c r="I45" i="3"/>
  <c r="S42" i="3"/>
  <c r="T42" i="3" s="1"/>
  <c r="U42" i="3"/>
  <c r="V42" i="3" s="1"/>
  <c r="U43" i="3"/>
  <c r="V43" i="3" s="1"/>
  <c r="D44" i="3"/>
  <c r="C36" i="10" s="1"/>
  <c r="C68" i="3" l="1"/>
  <c r="B60" i="10" s="1"/>
  <c r="N61" i="10"/>
  <c r="J70" i="3"/>
  <c r="M37" i="10"/>
  <c r="B69" i="3"/>
  <c r="O70" i="3"/>
  <c r="G62" i="10" s="1"/>
  <c r="F31" i="3"/>
  <c r="E23" i="10" s="1"/>
  <c r="Q70" i="3"/>
  <c r="R62" i="10" s="1"/>
  <c r="P70" i="3"/>
  <c r="Q62" i="10" s="1"/>
  <c r="N70" i="3"/>
  <c r="M70" i="3"/>
  <c r="I62" i="10" s="1"/>
  <c r="A70" i="3"/>
  <c r="A62" i="10" s="1"/>
  <c r="L46" i="3"/>
  <c r="I46" i="3"/>
  <c r="S43" i="3"/>
  <c r="T43" i="3" s="1"/>
  <c r="W42" i="3"/>
  <c r="D45" i="3"/>
  <c r="C37" i="10" s="1"/>
  <c r="C69" i="3" l="1"/>
  <c r="B61" i="10" s="1"/>
  <c r="N62" i="10"/>
  <c r="J71" i="3"/>
  <c r="M38" i="10"/>
  <c r="H31" i="3"/>
  <c r="B70" i="3"/>
  <c r="O71" i="3"/>
  <c r="G63" i="10" s="1"/>
  <c r="Q31" i="3"/>
  <c r="P32" i="3"/>
  <c r="E31" i="3"/>
  <c r="Q71" i="3"/>
  <c r="R63" i="10" s="1"/>
  <c r="P71" i="3"/>
  <c r="Q63" i="10" s="1"/>
  <c r="N71" i="3"/>
  <c r="M71" i="3"/>
  <c r="I63" i="10" s="1"/>
  <c r="A71" i="3"/>
  <c r="A63" i="10" s="1"/>
  <c r="L47" i="3"/>
  <c r="I47" i="3"/>
  <c r="W43" i="3"/>
  <c r="S44" i="3"/>
  <c r="T44" i="3" s="1"/>
  <c r="U44" i="3"/>
  <c r="V44" i="3" s="1"/>
  <c r="W44" i="3" s="1"/>
  <c r="D46" i="3"/>
  <c r="C38" i="10" s="1"/>
  <c r="C70" i="3" l="1"/>
  <c r="B62" i="10" s="1"/>
  <c r="D23" i="10"/>
  <c r="N63" i="10"/>
  <c r="J72" i="3"/>
  <c r="M39" i="10"/>
  <c r="Q24" i="10"/>
  <c r="R23" i="10"/>
  <c r="B71" i="3"/>
  <c r="O72" i="3"/>
  <c r="G64" i="10" s="1"/>
  <c r="G32" i="3"/>
  <c r="F24" i="10" s="1"/>
  <c r="Q72" i="3"/>
  <c r="R64" i="10" s="1"/>
  <c r="P72" i="3"/>
  <c r="Q64" i="10" s="1"/>
  <c r="N72" i="3"/>
  <c r="M72" i="3"/>
  <c r="I64" i="10" s="1"/>
  <c r="A72" i="3"/>
  <c r="L48" i="3"/>
  <c r="I48" i="3"/>
  <c r="S45" i="3"/>
  <c r="T45" i="3" s="1"/>
  <c r="U45" i="3"/>
  <c r="V45" i="3" s="1"/>
  <c r="W45" i="3" s="1"/>
  <c r="D47" i="3"/>
  <c r="C39" i="10" s="1"/>
  <c r="C71" i="3" l="1"/>
  <c r="B63" i="10" s="1"/>
  <c r="A64" i="10"/>
  <c r="J73" i="3"/>
  <c r="N64" i="10"/>
  <c r="M40" i="10"/>
  <c r="O73" i="3"/>
  <c r="G65" i="10" s="1"/>
  <c r="F32" i="3"/>
  <c r="E24" i="10" s="1"/>
  <c r="B72" i="3"/>
  <c r="M73" i="3"/>
  <c r="I65" i="10" s="1"/>
  <c r="N73" i="3"/>
  <c r="A73" i="3"/>
  <c r="A65" i="10" s="1"/>
  <c r="S46" i="3"/>
  <c r="T46" i="3" s="1"/>
  <c r="L49" i="3"/>
  <c r="U46" i="3"/>
  <c r="V46" i="3" s="1"/>
  <c r="W46" i="3" s="1"/>
  <c r="D48" i="3"/>
  <c r="C40" i="10" s="1"/>
  <c r="C72" i="3" l="1"/>
  <c r="B64" i="10" s="1"/>
  <c r="N65" i="10"/>
  <c r="J74" i="3"/>
  <c r="H32" i="3"/>
  <c r="B73" i="3"/>
  <c r="O74" i="3"/>
  <c r="G66" i="10" s="1"/>
  <c r="Q32" i="3"/>
  <c r="P33" i="3"/>
  <c r="E32" i="3"/>
  <c r="Q74" i="3"/>
  <c r="R66" i="10" s="1"/>
  <c r="P74" i="3"/>
  <c r="Q66" i="10" s="1"/>
  <c r="N74" i="3"/>
  <c r="M74" i="3"/>
  <c r="I66" i="10" s="1"/>
  <c r="A74" i="3"/>
  <c r="A66" i="10" s="1"/>
  <c r="L50" i="3"/>
  <c r="I50" i="3"/>
  <c r="U47" i="3"/>
  <c r="V47" i="3" s="1"/>
  <c r="W47" i="3" s="1"/>
  <c r="U48" i="3"/>
  <c r="V48" i="3" s="1"/>
  <c r="S47" i="3"/>
  <c r="T47" i="3" s="1"/>
  <c r="D49" i="3"/>
  <c r="C41" i="10" s="1"/>
  <c r="C73" i="3" l="1"/>
  <c r="B65" i="10" s="1"/>
  <c r="D24" i="10"/>
  <c r="N66" i="10"/>
  <c r="J75" i="3"/>
  <c r="M42" i="10"/>
  <c r="Q25" i="10"/>
  <c r="R24" i="10"/>
  <c r="B74" i="3"/>
  <c r="O75" i="3"/>
  <c r="G67" i="10" s="1"/>
  <c r="G33" i="3"/>
  <c r="F25" i="10" s="1"/>
  <c r="P75" i="3"/>
  <c r="Q67" i="10" s="1"/>
  <c r="N75" i="3"/>
  <c r="Q75" i="3"/>
  <c r="R67" i="10" s="1"/>
  <c r="M75" i="3"/>
  <c r="I67" i="10" s="1"/>
  <c r="A75" i="3"/>
  <c r="A67" i="10" s="1"/>
  <c r="L51" i="3"/>
  <c r="I51" i="3"/>
  <c r="S48" i="3"/>
  <c r="T48" i="3" s="1"/>
  <c r="U49" i="3"/>
  <c r="V49" i="3" s="1"/>
  <c r="D50" i="3"/>
  <c r="C42" i="10" s="1"/>
  <c r="C74" i="3" l="1"/>
  <c r="B66" i="10" s="1"/>
  <c r="N67" i="10"/>
  <c r="J76" i="3"/>
  <c r="M43" i="10"/>
  <c r="B75" i="3"/>
  <c r="O76" i="3"/>
  <c r="G68" i="10" s="1"/>
  <c r="F33" i="3"/>
  <c r="E25" i="10" s="1"/>
  <c r="Q76" i="3"/>
  <c r="R68" i="10" s="1"/>
  <c r="P76" i="3"/>
  <c r="Q68" i="10" s="1"/>
  <c r="N76" i="3"/>
  <c r="M76" i="3"/>
  <c r="I68" i="10" s="1"/>
  <c r="A76" i="3"/>
  <c r="A68" i="10" s="1"/>
  <c r="L52" i="3"/>
  <c r="I52" i="3"/>
  <c r="S49" i="3"/>
  <c r="T49" i="3" s="1"/>
  <c r="W48" i="3"/>
  <c r="D51" i="3"/>
  <c r="C43" i="10" s="1"/>
  <c r="C75" i="3" l="1"/>
  <c r="B67" i="10" s="1"/>
  <c r="N68" i="10"/>
  <c r="J77" i="3"/>
  <c r="M44" i="10"/>
  <c r="H33" i="3"/>
  <c r="B76" i="3"/>
  <c r="O77" i="3"/>
  <c r="G69" i="10" s="1"/>
  <c r="Q33" i="3"/>
  <c r="P34" i="3"/>
  <c r="E33" i="3"/>
  <c r="Q77" i="3"/>
  <c r="R69" i="10" s="1"/>
  <c r="M77" i="3"/>
  <c r="I69" i="10" s="1"/>
  <c r="P77" i="3"/>
  <c r="Q69" i="10" s="1"/>
  <c r="N77" i="3"/>
  <c r="A77" i="3"/>
  <c r="A69" i="10" s="1"/>
  <c r="L53" i="3"/>
  <c r="I53" i="3"/>
  <c r="W49" i="3"/>
  <c r="S50" i="3"/>
  <c r="T50" i="3" s="1"/>
  <c r="U50" i="3"/>
  <c r="V50" i="3" s="1"/>
  <c r="W50" i="3" s="1"/>
  <c r="U51" i="3"/>
  <c r="V51" i="3" s="1"/>
  <c r="D52" i="3"/>
  <c r="C44" i="10" s="1"/>
  <c r="C76" i="3" l="1"/>
  <c r="B68" i="10" s="1"/>
  <c r="D25" i="10"/>
  <c r="N69" i="10"/>
  <c r="J78" i="3"/>
  <c r="Q26" i="10"/>
  <c r="M45" i="10"/>
  <c r="R25" i="10"/>
  <c r="B77" i="3"/>
  <c r="O78" i="3"/>
  <c r="G70" i="10" s="1"/>
  <c r="G34" i="3"/>
  <c r="F26" i="10" s="1"/>
  <c r="Q78" i="3"/>
  <c r="R70" i="10" s="1"/>
  <c r="P78" i="3"/>
  <c r="Q70" i="10" s="1"/>
  <c r="N78" i="3"/>
  <c r="M78" i="3"/>
  <c r="I70" i="10" s="1"/>
  <c r="A78" i="3"/>
  <c r="A70" i="10" s="1"/>
  <c r="L54" i="3"/>
  <c r="I54" i="3"/>
  <c r="S51" i="3"/>
  <c r="T51" i="3" s="1"/>
  <c r="D53" i="3"/>
  <c r="C45" i="10" s="1"/>
  <c r="C77" i="3" l="1"/>
  <c r="B69" i="10" s="1"/>
  <c r="N70" i="10"/>
  <c r="J79" i="3"/>
  <c r="M46" i="10"/>
  <c r="B78" i="3"/>
  <c r="O79" i="3"/>
  <c r="G71" i="10" s="1"/>
  <c r="F34" i="3"/>
  <c r="E26" i="10" s="1"/>
  <c r="Q79" i="3"/>
  <c r="R71" i="10" s="1"/>
  <c r="P79" i="3"/>
  <c r="Q71" i="10" s="1"/>
  <c r="N79" i="3"/>
  <c r="M79" i="3"/>
  <c r="I71" i="10" s="1"/>
  <c r="A79" i="3"/>
  <c r="A71" i="10" s="1"/>
  <c r="L55" i="3"/>
  <c r="I55" i="3"/>
  <c r="W51" i="3"/>
  <c r="S52" i="3"/>
  <c r="T52" i="3" s="1"/>
  <c r="S53" i="3"/>
  <c r="T53" i="3" s="1"/>
  <c r="U52" i="3"/>
  <c r="V52" i="3" s="1"/>
  <c r="W52" i="3" s="1"/>
  <c r="D54" i="3"/>
  <c r="C46" i="10" s="1"/>
  <c r="C78" i="3" l="1"/>
  <c r="B70" i="10" s="1"/>
  <c r="N71" i="10"/>
  <c r="J80" i="3"/>
  <c r="M47" i="10"/>
  <c r="H34" i="3"/>
  <c r="D26" i="10" s="1"/>
  <c r="B79" i="3"/>
  <c r="O80" i="3"/>
  <c r="G72" i="10" s="1"/>
  <c r="Q34" i="3"/>
  <c r="P35" i="3"/>
  <c r="E34" i="3"/>
  <c r="Q80" i="3"/>
  <c r="R72" i="10" s="1"/>
  <c r="P80" i="3"/>
  <c r="Q72" i="10" s="1"/>
  <c r="N80" i="3"/>
  <c r="M80" i="3"/>
  <c r="I72" i="10" s="1"/>
  <c r="A80" i="3"/>
  <c r="A72" i="10" s="1"/>
  <c r="L56" i="3"/>
  <c r="I56" i="3"/>
  <c r="U53" i="3"/>
  <c r="V53" i="3" s="1"/>
  <c r="D55" i="3"/>
  <c r="C47" i="10" s="1"/>
  <c r="C79" i="3" l="1"/>
  <c r="B71" i="10" s="1"/>
  <c r="N72" i="10"/>
  <c r="J81" i="3"/>
  <c r="Q27" i="10"/>
  <c r="M48" i="10"/>
  <c r="R26" i="10"/>
  <c r="B80" i="3"/>
  <c r="O81" i="3"/>
  <c r="G73" i="10" s="1"/>
  <c r="G35" i="3"/>
  <c r="F27" i="10" s="1"/>
  <c r="Q81" i="3"/>
  <c r="R73" i="10" s="1"/>
  <c r="P81" i="3"/>
  <c r="Q73" i="10" s="1"/>
  <c r="M81" i="3"/>
  <c r="I73" i="10" s="1"/>
  <c r="N81" i="3"/>
  <c r="A81" i="3"/>
  <c r="A73" i="10" s="1"/>
  <c r="L57" i="3"/>
  <c r="I57" i="3"/>
  <c r="S54" i="3"/>
  <c r="T54" i="3" s="1"/>
  <c r="W53" i="3"/>
  <c r="U54" i="3"/>
  <c r="V54" i="3" s="1"/>
  <c r="W54" i="3" s="1"/>
  <c r="D56" i="3"/>
  <c r="C48" i="10" s="1"/>
  <c r="C80" i="3" l="1"/>
  <c r="B72" i="10" s="1"/>
  <c r="N73" i="10"/>
  <c r="J82" i="3"/>
  <c r="M49" i="10"/>
  <c r="B81" i="3"/>
  <c r="O82" i="3"/>
  <c r="G74" i="10" s="1"/>
  <c r="F35" i="3"/>
  <c r="E27" i="10" s="1"/>
  <c r="Q82" i="3"/>
  <c r="R74" i="10" s="1"/>
  <c r="P82" i="3"/>
  <c r="Q74" i="10" s="1"/>
  <c r="N82" i="3"/>
  <c r="M82" i="3"/>
  <c r="I74" i="10" s="1"/>
  <c r="A82" i="3"/>
  <c r="A74" i="10" s="1"/>
  <c r="L58" i="3"/>
  <c r="I58" i="3"/>
  <c r="U55" i="3"/>
  <c r="V55" i="3" s="1"/>
  <c r="W55" i="3" s="1"/>
  <c r="S55" i="3"/>
  <c r="T55" i="3" s="1"/>
  <c r="D57" i="3"/>
  <c r="C49" i="10" s="1"/>
  <c r="C81" i="3" l="1"/>
  <c r="B73" i="10" s="1"/>
  <c r="N74" i="10"/>
  <c r="J83" i="3"/>
  <c r="M50" i="10"/>
  <c r="H35" i="3"/>
  <c r="D27" i="10" s="1"/>
  <c r="B82" i="3"/>
  <c r="O83" i="3"/>
  <c r="G75" i="10" s="1"/>
  <c r="Q35" i="3"/>
  <c r="E35" i="3"/>
  <c r="P36" i="3"/>
  <c r="P83" i="3"/>
  <c r="Q75" i="10" s="1"/>
  <c r="Q83" i="3"/>
  <c r="R75" i="10" s="1"/>
  <c r="N83" i="3"/>
  <c r="M83" i="3"/>
  <c r="I75" i="10" s="1"/>
  <c r="A83" i="3"/>
  <c r="A75" i="10" s="1"/>
  <c r="S56" i="3"/>
  <c r="T56" i="3" s="1"/>
  <c r="L59" i="3"/>
  <c r="I59" i="3"/>
  <c r="U56" i="3"/>
  <c r="V56" i="3" s="1"/>
  <c r="D58" i="3"/>
  <c r="C50" i="10" s="1"/>
  <c r="C82" i="3" l="1"/>
  <c r="B74" i="10" s="1"/>
  <c r="N75" i="10"/>
  <c r="J84" i="3"/>
  <c r="M51" i="10"/>
  <c r="Q28" i="10"/>
  <c r="R27" i="10"/>
  <c r="B83" i="3"/>
  <c r="O84" i="3"/>
  <c r="G76" i="10" s="1"/>
  <c r="G36" i="3"/>
  <c r="F28" i="10" s="1"/>
  <c r="Q84" i="3"/>
  <c r="R76" i="10" s="1"/>
  <c r="P84" i="3"/>
  <c r="Q76" i="10" s="1"/>
  <c r="N84" i="3"/>
  <c r="M84" i="3"/>
  <c r="I76" i="10" s="1"/>
  <c r="A84" i="3"/>
  <c r="L60" i="3"/>
  <c r="I60" i="3"/>
  <c r="W56" i="3"/>
  <c r="U57" i="3"/>
  <c r="V57" i="3" s="1"/>
  <c r="W57" i="3" s="1"/>
  <c r="S57" i="3"/>
  <c r="T57" i="3" s="1"/>
  <c r="U58" i="3"/>
  <c r="V58" i="3" s="1"/>
  <c r="D59" i="3"/>
  <c r="C51" i="10" s="1"/>
  <c r="C83" i="3" l="1"/>
  <c r="B75" i="10" s="1"/>
  <c r="A76" i="10"/>
  <c r="J85" i="3"/>
  <c r="N76" i="10"/>
  <c r="M52" i="10"/>
  <c r="B84" i="3"/>
  <c r="F36" i="3"/>
  <c r="E28" i="10" s="1"/>
  <c r="M85" i="3"/>
  <c r="I77" i="10" s="1"/>
  <c r="N85" i="3"/>
  <c r="A85" i="3"/>
  <c r="A77" i="10" s="1"/>
  <c r="L61" i="3"/>
  <c r="I61" i="3"/>
  <c r="S58" i="3"/>
  <c r="T58" i="3" s="1"/>
  <c r="S59" i="3"/>
  <c r="T59" i="3" s="1"/>
  <c r="D60" i="3"/>
  <c r="C52" i="10" s="1"/>
  <c r="C84" i="3" l="1"/>
  <c r="B76" i="10" s="1"/>
  <c r="M53" i="10"/>
  <c r="N77" i="10"/>
  <c r="H36" i="3"/>
  <c r="B85" i="3"/>
  <c r="O86" i="3"/>
  <c r="E36" i="3"/>
  <c r="N86" i="3"/>
  <c r="M86" i="3"/>
  <c r="A86" i="3"/>
  <c r="A78" i="10" s="1"/>
  <c r="L62" i="3"/>
  <c r="I62" i="3"/>
  <c r="U59" i="3"/>
  <c r="V59" i="3" s="1"/>
  <c r="W58" i="3"/>
  <c r="D61" i="3"/>
  <c r="C53" i="10" s="1"/>
  <c r="D28" i="10" l="1"/>
  <c r="C85" i="3"/>
  <c r="B77" i="10"/>
  <c r="M54" i="10"/>
  <c r="B86" i="3"/>
  <c r="C86" i="3" s="1"/>
  <c r="K37" i="3"/>
  <c r="O29" i="10" s="1"/>
  <c r="G37" i="3"/>
  <c r="Q87" i="3"/>
  <c r="P87" i="3"/>
  <c r="N87" i="3"/>
  <c r="M87" i="3"/>
  <c r="A87" i="3"/>
  <c r="A79" i="10" s="1"/>
  <c r="L63" i="3"/>
  <c r="I63" i="3"/>
  <c r="S60" i="3"/>
  <c r="T60" i="3" s="1"/>
  <c r="W59" i="3"/>
  <c r="U60" i="3"/>
  <c r="V60" i="3" s="1"/>
  <c r="W60" i="3" s="1"/>
  <c r="U61" i="3"/>
  <c r="V61" i="3" s="1"/>
  <c r="D62" i="3"/>
  <c r="C54" i="10" s="1"/>
  <c r="F29" i="10" l="1"/>
  <c r="M55" i="10"/>
  <c r="B87" i="3"/>
  <c r="C87" i="3" s="1"/>
  <c r="F37" i="3"/>
  <c r="E29" i="10" s="1"/>
  <c r="Y3" i="3"/>
  <c r="Z3" i="3" s="1"/>
  <c r="Q88" i="3"/>
  <c r="P88" i="3"/>
  <c r="N88" i="3"/>
  <c r="M88" i="3"/>
  <c r="A88" i="3"/>
  <c r="A80" i="10" s="1"/>
  <c r="L64" i="3"/>
  <c r="I64" i="3"/>
  <c r="S61" i="3"/>
  <c r="T61" i="3" s="1"/>
  <c r="D63" i="3"/>
  <c r="C55" i="10" s="1"/>
  <c r="M56" i="10" l="1"/>
  <c r="B88" i="3"/>
  <c r="C88" i="3" s="1"/>
  <c r="E37" i="3"/>
  <c r="Q89" i="3"/>
  <c r="P89" i="3"/>
  <c r="M89" i="3"/>
  <c r="N89" i="3"/>
  <c r="A89" i="3"/>
  <c r="F87" i="3"/>
  <c r="L65" i="3"/>
  <c r="I65" i="3"/>
  <c r="U62" i="3"/>
  <c r="V62" i="3" s="1"/>
  <c r="W62" i="3" s="1"/>
  <c r="S62" i="3"/>
  <c r="T62" i="3" s="1"/>
  <c r="W61" i="3"/>
  <c r="D64" i="3"/>
  <c r="C56" i="10" s="1"/>
  <c r="M57" i="10" l="1"/>
  <c r="B89" i="3"/>
  <c r="C89" i="3" s="1"/>
  <c r="A81" i="10"/>
  <c r="G38" i="3"/>
  <c r="F30" i="10" s="1"/>
  <c r="Q90" i="3"/>
  <c r="P90" i="3"/>
  <c r="N90" i="3"/>
  <c r="M90" i="3"/>
  <c r="A90" i="3"/>
  <c r="B90" i="3" s="1"/>
  <c r="C90" i="3" s="1"/>
  <c r="F88" i="3"/>
  <c r="L66" i="3"/>
  <c r="I66" i="3"/>
  <c r="S63" i="3"/>
  <c r="T63" i="3" s="1"/>
  <c r="U63" i="3"/>
  <c r="V63" i="3" s="1"/>
  <c r="W63" i="3" s="1"/>
  <c r="D65" i="3"/>
  <c r="C57" i="10" s="1"/>
  <c r="M58" i="10" l="1"/>
  <c r="F38" i="3"/>
  <c r="P91" i="3"/>
  <c r="N91" i="3"/>
  <c r="Q91" i="3"/>
  <c r="M91" i="3"/>
  <c r="A91" i="3"/>
  <c r="B91" i="3" s="1"/>
  <c r="C91" i="3" s="1"/>
  <c r="F89" i="3"/>
  <c r="U64" i="3"/>
  <c r="V64" i="3" s="1"/>
  <c r="W64" i="3" s="1"/>
  <c r="L67" i="3"/>
  <c r="I67" i="3"/>
  <c r="S64" i="3"/>
  <c r="T64" i="3" s="1"/>
  <c r="D66" i="3"/>
  <c r="C58" i="10" s="1"/>
  <c r="M59" i="10" l="1"/>
  <c r="H38" i="3"/>
  <c r="E30" i="10"/>
  <c r="E38" i="3"/>
  <c r="Q92" i="3"/>
  <c r="P92" i="3"/>
  <c r="N92" i="3"/>
  <c r="M92" i="3"/>
  <c r="A92" i="3"/>
  <c r="B92" i="3" s="1"/>
  <c r="C92" i="3" s="1"/>
  <c r="F90" i="3"/>
  <c r="L68" i="3"/>
  <c r="I68" i="3"/>
  <c r="S65" i="3"/>
  <c r="T65" i="3" s="1"/>
  <c r="U65" i="3"/>
  <c r="V65" i="3" s="1"/>
  <c r="W65" i="3" s="1"/>
  <c r="D67" i="3"/>
  <c r="C59" i="10" s="1"/>
  <c r="D30" i="10" l="1"/>
  <c r="M60" i="10"/>
  <c r="R38" i="3"/>
  <c r="G39" i="3"/>
  <c r="Q93" i="3"/>
  <c r="M93" i="3"/>
  <c r="P93" i="3"/>
  <c r="N93" i="3"/>
  <c r="A93" i="3"/>
  <c r="B93" i="3" s="1"/>
  <c r="C93" i="3" s="1"/>
  <c r="F91" i="3"/>
  <c r="L69" i="3"/>
  <c r="I69" i="3"/>
  <c r="U66" i="3"/>
  <c r="V66" i="3" s="1"/>
  <c r="W66" i="3" s="1"/>
  <c r="S66" i="3"/>
  <c r="T66" i="3" s="1"/>
  <c r="D68" i="3"/>
  <c r="C60" i="10" s="1"/>
  <c r="M61" i="10" l="1"/>
  <c r="F39" i="3"/>
  <c r="F31" i="10"/>
  <c r="Q94" i="3"/>
  <c r="P94" i="3"/>
  <c r="N94" i="3"/>
  <c r="M94" i="3"/>
  <c r="A94" i="3"/>
  <c r="B94" i="3" s="1"/>
  <c r="C94" i="3" s="1"/>
  <c r="F92" i="3"/>
  <c r="L70" i="3"/>
  <c r="I70" i="3"/>
  <c r="S67" i="3"/>
  <c r="T67" i="3" s="1"/>
  <c r="U67" i="3"/>
  <c r="V67" i="3" s="1"/>
  <c r="W67" i="3" s="1"/>
  <c r="D69" i="3"/>
  <c r="C61" i="10" s="1"/>
  <c r="E31" i="10" l="1"/>
  <c r="M62" i="10"/>
  <c r="E39" i="3"/>
  <c r="G40" i="3" s="1"/>
  <c r="F32" i="10" s="1"/>
  <c r="H39" i="3"/>
  <c r="Q95" i="3"/>
  <c r="P95" i="3"/>
  <c r="N95" i="3"/>
  <c r="M95" i="3"/>
  <c r="A95" i="3"/>
  <c r="B95" i="3" s="1"/>
  <c r="C95" i="3" s="1"/>
  <c r="F93" i="3"/>
  <c r="L71" i="3"/>
  <c r="I71" i="3"/>
  <c r="S68" i="3"/>
  <c r="T68" i="3" s="1"/>
  <c r="U68" i="3"/>
  <c r="V68" i="3" s="1"/>
  <c r="W68" i="3" s="1"/>
  <c r="D70" i="3"/>
  <c r="C62" i="10" s="1"/>
  <c r="M63" i="10" l="1"/>
  <c r="F40" i="3"/>
  <c r="D31" i="10"/>
  <c r="R39" i="3"/>
  <c r="Q96" i="3"/>
  <c r="P96" i="3"/>
  <c r="N96" i="3"/>
  <c r="M96" i="3"/>
  <c r="A96" i="3"/>
  <c r="B96" i="3" s="1"/>
  <c r="C96" i="3" s="1"/>
  <c r="F94" i="3"/>
  <c r="L72" i="3"/>
  <c r="I72" i="3"/>
  <c r="S69" i="3"/>
  <c r="T69" i="3" s="1"/>
  <c r="U69" i="3"/>
  <c r="V69" i="3" s="1"/>
  <c r="D71" i="3"/>
  <c r="C63" i="10" s="1"/>
  <c r="E32" i="10" l="1"/>
  <c r="H40" i="3"/>
  <c r="M64" i="10"/>
  <c r="E40" i="3"/>
  <c r="G41" i="3" s="1"/>
  <c r="F33" i="10" s="1"/>
  <c r="M97" i="3"/>
  <c r="N97" i="3"/>
  <c r="A97" i="3"/>
  <c r="B97" i="3" s="1"/>
  <c r="C97" i="3" s="1"/>
  <c r="F95" i="3"/>
  <c r="L73" i="3"/>
  <c r="I73" i="3"/>
  <c r="W69" i="3"/>
  <c r="U70" i="3"/>
  <c r="V70" i="3" s="1"/>
  <c r="W70" i="3" s="1"/>
  <c r="U71" i="3"/>
  <c r="V71" i="3" s="1"/>
  <c r="S70" i="3"/>
  <c r="T70" i="3" s="1"/>
  <c r="D72" i="3"/>
  <c r="C64" i="10" s="1"/>
  <c r="D32" i="10" l="1"/>
  <c r="R40" i="3"/>
  <c r="M65" i="10"/>
  <c r="F41" i="3"/>
  <c r="Q98" i="3"/>
  <c r="P98" i="3"/>
  <c r="N98" i="3"/>
  <c r="M98" i="3"/>
  <c r="A98" i="3"/>
  <c r="B98" i="3" s="1"/>
  <c r="C98" i="3" s="1"/>
  <c r="F96" i="3"/>
  <c r="L74" i="3"/>
  <c r="I74" i="3"/>
  <c r="S71" i="3"/>
  <c r="T71" i="3" s="1"/>
  <c r="S72" i="3"/>
  <c r="T72" i="3" s="1"/>
  <c r="D73" i="3"/>
  <c r="C65" i="10" s="1"/>
  <c r="E33" i="10" l="1"/>
  <c r="M66" i="10"/>
  <c r="H41" i="3"/>
  <c r="D33" i="10" s="1"/>
  <c r="E41" i="3"/>
  <c r="P99" i="3"/>
  <c r="Q99" i="3"/>
  <c r="N99" i="3"/>
  <c r="M99" i="3"/>
  <c r="A99" i="3"/>
  <c r="B99" i="3" s="1"/>
  <c r="C99" i="3" s="1"/>
  <c r="F97" i="3"/>
  <c r="L75" i="3"/>
  <c r="I75" i="3"/>
  <c r="W71" i="3"/>
  <c r="U72" i="3"/>
  <c r="V72" i="3" s="1"/>
  <c r="S73" i="3"/>
  <c r="T73" i="3" s="1"/>
  <c r="D74" i="3"/>
  <c r="C66" i="10" s="1"/>
  <c r="M67" i="10" l="1"/>
  <c r="R41" i="3"/>
  <c r="G42" i="3"/>
  <c r="F34" i="10" s="1"/>
  <c r="Q100" i="3"/>
  <c r="P100" i="3"/>
  <c r="N100" i="3"/>
  <c r="M100" i="3"/>
  <c r="A100" i="3"/>
  <c r="B100" i="3" s="1"/>
  <c r="C100" i="3" s="1"/>
  <c r="F98" i="3"/>
  <c r="L76" i="3"/>
  <c r="I76" i="3"/>
  <c r="W72" i="3"/>
  <c r="U73" i="3"/>
  <c r="V73" i="3" s="1"/>
  <c r="U74" i="3"/>
  <c r="V74" i="3" s="1"/>
  <c r="D75" i="3"/>
  <c r="C67" i="10" s="1"/>
  <c r="M68" i="10" l="1"/>
  <c r="F42" i="3"/>
  <c r="E34" i="10" s="1"/>
  <c r="Q101" i="3"/>
  <c r="M101" i="3"/>
  <c r="P101" i="3"/>
  <c r="N101" i="3"/>
  <c r="A101" i="3"/>
  <c r="B101" i="3" s="1"/>
  <c r="C101" i="3" s="1"/>
  <c r="F99" i="3"/>
  <c r="L77" i="3"/>
  <c r="I77" i="3"/>
  <c r="S74" i="3"/>
  <c r="T74" i="3" s="1"/>
  <c r="S75" i="3"/>
  <c r="T75" i="3" s="1"/>
  <c r="W73" i="3"/>
  <c r="D76" i="3"/>
  <c r="C68" i="10" s="1"/>
  <c r="M69" i="10" l="1"/>
  <c r="E42" i="3"/>
  <c r="H42" i="3"/>
  <c r="D34" i="10" s="1"/>
  <c r="Q102" i="3"/>
  <c r="P102" i="3"/>
  <c r="N102" i="3"/>
  <c r="M102" i="3"/>
  <c r="A102" i="3"/>
  <c r="B102" i="3" s="1"/>
  <c r="C102" i="3" s="1"/>
  <c r="F100" i="3"/>
  <c r="L78" i="3"/>
  <c r="I78" i="3"/>
  <c r="U75" i="3"/>
  <c r="V75" i="3" s="1"/>
  <c r="W74" i="3"/>
  <c r="D77" i="3"/>
  <c r="C69" i="10" s="1"/>
  <c r="M70" i="10" l="1"/>
  <c r="R42" i="3"/>
  <c r="G43" i="3"/>
  <c r="F35" i="10" s="1"/>
  <c r="Q103" i="3"/>
  <c r="P103" i="3"/>
  <c r="N103" i="3"/>
  <c r="M103" i="3"/>
  <c r="A103" i="3"/>
  <c r="B103" i="3" s="1"/>
  <c r="C103" i="3" s="1"/>
  <c r="F101" i="3"/>
  <c r="L79" i="3"/>
  <c r="I79" i="3"/>
  <c r="W75" i="3"/>
  <c r="U76" i="3"/>
  <c r="V76" i="3" s="1"/>
  <c r="W76" i="3" s="1"/>
  <c r="S76" i="3"/>
  <c r="T76" i="3" s="1"/>
  <c r="D78" i="3"/>
  <c r="C70" i="10" s="1"/>
  <c r="M71" i="10" l="1"/>
  <c r="F43" i="3"/>
  <c r="E35" i="10" s="1"/>
  <c r="Q104" i="3"/>
  <c r="P104" i="3"/>
  <c r="N104" i="3"/>
  <c r="M104" i="3"/>
  <c r="A104" i="3"/>
  <c r="B104" i="3" s="1"/>
  <c r="C104" i="3" s="1"/>
  <c r="F102" i="3"/>
  <c r="L80" i="3"/>
  <c r="I80" i="3"/>
  <c r="U77" i="3"/>
  <c r="V77" i="3" s="1"/>
  <c r="W77" i="3" s="1"/>
  <c r="S77" i="3"/>
  <c r="T77" i="3" s="1"/>
  <c r="D79" i="3"/>
  <c r="C71" i="10" s="1"/>
  <c r="S78" i="3"/>
  <c r="T78" i="3" s="1"/>
  <c r="M72" i="10" l="1"/>
  <c r="E43" i="3"/>
  <c r="H43" i="3"/>
  <c r="M105" i="3"/>
  <c r="N105" i="3"/>
  <c r="A105" i="3"/>
  <c r="B105" i="3" s="1"/>
  <c r="C105" i="3" s="1"/>
  <c r="F103" i="3"/>
  <c r="L81" i="3"/>
  <c r="I81" i="3"/>
  <c r="U78" i="3"/>
  <c r="V78" i="3" s="1"/>
  <c r="D80" i="3"/>
  <c r="C72" i="10" s="1"/>
  <c r="D35" i="10" l="1"/>
  <c r="M73" i="10"/>
  <c r="G44" i="3"/>
  <c r="F36" i="10" s="1"/>
  <c r="R43" i="3"/>
  <c r="Q106" i="3"/>
  <c r="P106" i="3"/>
  <c r="N106" i="3"/>
  <c r="M106" i="3"/>
  <c r="A106" i="3"/>
  <c r="B106" i="3" s="1"/>
  <c r="C106" i="3" s="1"/>
  <c r="L82" i="3"/>
  <c r="I82" i="3"/>
  <c r="S79" i="3"/>
  <c r="T79" i="3" s="1"/>
  <c r="W78" i="3"/>
  <c r="U79" i="3"/>
  <c r="V79" i="3" s="1"/>
  <c r="W79" i="3" s="1"/>
  <c r="D81" i="3"/>
  <c r="C73" i="10" s="1"/>
  <c r="M74" i="10" l="1"/>
  <c r="F44" i="3"/>
  <c r="P107" i="3"/>
  <c r="N107" i="3"/>
  <c r="Q107" i="3"/>
  <c r="M107" i="3"/>
  <c r="A107" i="3"/>
  <c r="B107" i="3" s="1"/>
  <c r="C107" i="3" s="1"/>
  <c r="L83" i="3"/>
  <c r="I83" i="3"/>
  <c r="S80" i="3"/>
  <c r="T80" i="3" s="1"/>
  <c r="U80" i="3"/>
  <c r="V80" i="3" s="1"/>
  <c r="W80" i="3" s="1"/>
  <c r="D82" i="3"/>
  <c r="C74" i="10" s="1"/>
  <c r="E36" i="10" l="1"/>
  <c r="M75" i="10"/>
  <c r="E44" i="3"/>
  <c r="H44" i="3"/>
  <c r="Q108" i="3"/>
  <c r="P108" i="3"/>
  <c r="N108" i="3"/>
  <c r="M108" i="3"/>
  <c r="A108" i="3"/>
  <c r="F106" i="3"/>
  <c r="E106" i="3" s="1"/>
  <c r="L84" i="3"/>
  <c r="I84" i="3"/>
  <c r="U81" i="3"/>
  <c r="V81" i="3" s="1"/>
  <c r="W81" i="3" s="1"/>
  <c r="S81" i="3"/>
  <c r="T81" i="3" s="1"/>
  <c r="D83" i="3"/>
  <c r="C75" i="10" s="1"/>
  <c r="D36" i="10" l="1"/>
  <c r="M76" i="10"/>
  <c r="G45" i="3"/>
  <c r="F37" i="10" s="1"/>
  <c r="R44" i="3"/>
  <c r="J109" i="3"/>
  <c r="B108" i="3"/>
  <c r="C108" i="3" s="1"/>
  <c r="Q109" i="3"/>
  <c r="M109" i="3"/>
  <c r="P109" i="3"/>
  <c r="N109" i="3"/>
  <c r="A109" i="3"/>
  <c r="B109" i="3" s="1"/>
  <c r="C109" i="3" s="1"/>
  <c r="F107" i="3"/>
  <c r="E107" i="3" s="1"/>
  <c r="S82" i="3"/>
  <c r="T82" i="3" s="1"/>
  <c r="L85" i="3"/>
  <c r="U82" i="3"/>
  <c r="V82" i="3" s="1"/>
  <c r="S83" i="3"/>
  <c r="T83" i="3" s="1"/>
  <c r="D84" i="3"/>
  <c r="C76" i="10" s="1"/>
  <c r="F45" i="3" l="1"/>
  <c r="Q110" i="3"/>
  <c r="P110" i="3"/>
  <c r="N110" i="3"/>
  <c r="M110" i="3"/>
  <c r="A110" i="3"/>
  <c r="B110" i="3" s="1"/>
  <c r="C110" i="3" s="1"/>
  <c r="F108" i="3"/>
  <c r="E108" i="3" s="1"/>
  <c r="U83" i="3"/>
  <c r="V83" i="3" s="1"/>
  <c r="J86" i="3"/>
  <c r="L86" i="3"/>
  <c r="I86" i="3"/>
  <c r="W82" i="3"/>
  <c r="D85" i="3"/>
  <c r="C77" i="10" s="1"/>
  <c r="E37" i="10" l="1"/>
  <c r="E45" i="3"/>
  <c r="H45" i="3"/>
  <c r="Q111" i="3"/>
  <c r="P111" i="3"/>
  <c r="N111" i="3"/>
  <c r="M111" i="3"/>
  <c r="A111" i="3"/>
  <c r="B111" i="3" s="1"/>
  <c r="C111" i="3" s="1"/>
  <c r="F109" i="3"/>
  <c r="E109" i="3" s="1"/>
  <c r="L87" i="3"/>
  <c r="I87" i="3"/>
  <c r="J87" i="3"/>
  <c r="S84" i="3"/>
  <c r="T84" i="3" s="1"/>
  <c r="U84" i="3"/>
  <c r="V84" i="3" s="1"/>
  <c r="U85" i="3"/>
  <c r="V85" i="3" s="1"/>
  <c r="W83" i="3"/>
  <c r="D86" i="3"/>
  <c r="D37" i="10" l="1"/>
  <c r="G46" i="3"/>
  <c r="F38" i="10" s="1"/>
  <c r="R45" i="3"/>
  <c r="Q112" i="3"/>
  <c r="P112" i="3"/>
  <c r="N112" i="3"/>
  <c r="M112" i="3"/>
  <c r="A112" i="3"/>
  <c r="B112" i="3" s="1"/>
  <c r="C112" i="3" s="1"/>
  <c r="F110" i="3"/>
  <c r="E110" i="3" s="1"/>
  <c r="J88" i="3"/>
  <c r="L88" i="3"/>
  <c r="I88" i="3"/>
  <c r="S85" i="3"/>
  <c r="T85" i="3" s="1"/>
  <c r="W84" i="3"/>
  <c r="D87" i="3"/>
  <c r="F46" i="3" l="1"/>
  <c r="Q113" i="3"/>
  <c r="P113" i="3"/>
  <c r="M113" i="3"/>
  <c r="N113" i="3"/>
  <c r="A113" i="3"/>
  <c r="B113" i="3" s="1"/>
  <c r="C113" i="3" s="1"/>
  <c r="F111" i="3"/>
  <c r="E111" i="3" s="1"/>
  <c r="L89" i="3"/>
  <c r="I89" i="3"/>
  <c r="J89" i="3"/>
  <c r="U86" i="3"/>
  <c r="V86" i="3" s="1"/>
  <c r="S86" i="3"/>
  <c r="T86" i="3" s="1"/>
  <c r="W85" i="3"/>
  <c r="D88" i="3"/>
  <c r="E38" i="10" l="1"/>
  <c r="E46" i="3"/>
  <c r="H46" i="3"/>
  <c r="Q114" i="3"/>
  <c r="P114" i="3"/>
  <c r="N114" i="3"/>
  <c r="M114" i="3"/>
  <c r="A114" i="3"/>
  <c r="B114" i="3" s="1"/>
  <c r="C114" i="3" s="1"/>
  <c r="F112" i="3"/>
  <c r="E112" i="3" s="1"/>
  <c r="J90" i="3"/>
  <c r="L90" i="3"/>
  <c r="I90" i="3"/>
  <c r="U87" i="3"/>
  <c r="V87" i="3" s="1"/>
  <c r="W87" i="3" s="1"/>
  <c r="W86" i="3"/>
  <c r="S87" i="3"/>
  <c r="T87" i="3" s="1"/>
  <c r="D89" i="3"/>
  <c r="D38" i="10" l="1"/>
  <c r="G47" i="3"/>
  <c r="F39" i="10" s="1"/>
  <c r="R46" i="3"/>
  <c r="P115" i="3"/>
  <c r="Q115" i="3"/>
  <c r="N115" i="3"/>
  <c r="M115" i="3"/>
  <c r="A115" i="3"/>
  <c r="B115" i="3" s="1"/>
  <c r="C115" i="3" s="1"/>
  <c r="F113" i="3"/>
  <c r="E113" i="3" s="1"/>
  <c r="L91" i="3"/>
  <c r="I91" i="3"/>
  <c r="J91" i="3"/>
  <c r="U88" i="3"/>
  <c r="V88" i="3" s="1"/>
  <c r="W88" i="3" s="1"/>
  <c r="S88" i="3"/>
  <c r="T88" i="3" s="1"/>
  <c r="D90" i="3"/>
  <c r="F47" i="3" l="1"/>
  <c r="Q116" i="3"/>
  <c r="P116" i="3"/>
  <c r="N116" i="3"/>
  <c r="M116" i="3"/>
  <c r="A116" i="3"/>
  <c r="B116" i="3" s="1"/>
  <c r="C116" i="3" s="1"/>
  <c r="F114" i="3"/>
  <c r="E114" i="3" s="1"/>
  <c r="J92" i="3"/>
  <c r="L92" i="3"/>
  <c r="I92" i="3"/>
  <c r="S89" i="3"/>
  <c r="T89" i="3" s="1"/>
  <c r="U89" i="3"/>
  <c r="V89" i="3" s="1"/>
  <c r="W89" i="3" s="1"/>
  <c r="D91" i="3"/>
  <c r="E39" i="10" l="1"/>
  <c r="E47" i="3"/>
  <c r="H47" i="3"/>
  <c r="Q117" i="3"/>
  <c r="M117" i="3"/>
  <c r="P117" i="3"/>
  <c r="N117" i="3"/>
  <c r="A117" i="3"/>
  <c r="B117" i="3" s="1"/>
  <c r="C117" i="3" s="1"/>
  <c r="F115" i="3"/>
  <c r="E115" i="3" s="1"/>
  <c r="L93" i="3"/>
  <c r="I93" i="3"/>
  <c r="J93" i="3"/>
  <c r="S90" i="3"/>
  <c r="T90" i="3" s="1"/>
  <c r="U90" i="3"/>
  <c r="V90" i="3" s="1"/>
  <c r="W90" i="3" s="1"/>
  <c r="S91" i="3"/>
  <c r="D92" i="3"/>
  <c r="D39" i="10" l="1"/>
  <c r="G48" i="3"/>
  <c r="F40" i="10" s="1"/>
  <c r="R47" i="3"/>
  <c r="Q118" i="3"/>
  <c r="P118" i="3"/>
  <c r="N118" i="3"/>
  <c r="M118" i="3"/>
  <c r="A118" i="3"/>
  <c r="B118" i="3" s="1"/>
  <c r="C118" i="3" s="1"/>
  <c r="F116" i="3"/>
  <c r="E116" i="3" s="1"/>
  <c r="J94" i="3"/>
  <c r="L94" i="3"/>
  <c r="I94" i="3"/>
  <c r="U91" i="3"/>
  <c r="V91" i="3" s="1"/>
  <c r="S92" i="3"/>
  <c r="T92" i="3" s="1"/>
  <c r="D93" i="3"/>
  <c r="T91" i="3"/>
  <c r="F48" i="3" l="1"/>
  <c r="Q119" i="3"/>
  <c r="P119" i="3"/>
  <c r="N119" i="3"/>
  <c r="M119" i="3"/>
  <c r="A119" i="3"/>
  <c r="B119" i="3" s="1"/>
  <c r="C119" i="3" s="1"/>
  <c r="F117" i="3"/>
  <c r="E117" i="3" s="1"/>
  <c r="L95" i="3"/>
  <c r="I95" i="3"/>
  <c r="J95" i="3"/>
  <c r="U92" i="3"/>
  <c r="V92" i="3" s="1"/>
  <c r="W91" i="3"/>
  <c r="D94" i="3"/>
  <c r="E40" i="10" l="1"/>
  <c r="E48" i="3"/>
  <c r="H48" i="3"/>
  <c r="Q120" i="3"/>
  <c r="P120" i="3"/>
  <c r="N120" i="3"/>
  <c r="M120" i="3"/>
  <c r="A120" i="3"/>
  <c r="F118" i="3"/>
  <c r="E118" i="3" s="1"/>
  <c r="J96" i="3"/>
  <c r="L96" i="3"/>
  <c r="I96" i="3"/>
  <c r="W92" i="3"/>
  <c r="U93" i="3"/>
  <c r="V93" i="3" s="1"/>
  <c r="W93" i="3" s="1"/>
  <c r="U94" i="3"/>
  <c r="V94" i="3" s="1"/>
  <c r="S93" i="3"/>
  <c r="T93" i="3" s="1"/>
  <c r="D95" i="3"/>
  <c r="D40" i="10" l="1"/>
  <c r="K49" i="3"/>
  <c r="O41" i="10" s="1"/>
  <c r="G49" i="3"/>
  <c r="R48" i="3"/>
  <c r="J121" i="3"/>
  <c r="B120" i="3"/>
  <c r="C120" i="3" s="1"/>
  <c r="J97" i="3"/>
  <c r="Q121" i="3"/>
  <c r="P121" i="3"/>
  <c r="M121" i="3"/>
  <c r="N121" i="3"/>
  <c r="A121" i="3"/>
  <c r="B121" i="3" s="1"/>
  <c r="C121" i="3" s="1"/>
  <c r="F119" i="3"/>
  <c r="E119" i="3" s="1"/>
  <c r="S94" i="3"/>
  <c r="T94" i="3" s="1"/>
  <c r="L97" i="3"/>
  <c r="I97" i="3"/>
  <c r="D96" i="3"/>
  <c r="F41" i="10" l="1"/>
  <c r="F49" i="3"/>
  <c r="Y4" i="3"/>
  <c r="Z4" i="3" s="1"/>
  <c r="Q122" i="3"/>
  <c r="P122" i="3"/>
  <c r="N122" i="3"/>
  <c r="M122" i="3"/>
  <c r="A122" i="3"/>
  <c r="B122" i="3" s="1"/>
  <c r="C122" i="3" s="1"/>
  <c r="F120" i="3"/>
  <c r="E120" i="3" s="1"/>
  <c r="J98" i="3"/>
  <c r="L98" i="3"/>
  <c r="I98" i="3"/>
  <c r="W94" i="3"/>
  <c r="U95" i="3"/>
  <c r="V95" i="3" s="1"/>
  <c r="W95" i="3" s="1"/>
  <c r="U96" i="3"/>
  <c r="V96" i="3" s="1"/>
  <c r="S95" i="3"/>
  <c r="T95" i="3" s="1"/>
  <c r="D97" i="3"/>
  <c r="E41" i="10" l="1"/>
  <c r="H49" i="3"/>
  <c r="D41" i="10" s="1"/>
  <c r="E49" i="3"/>
  <c r="P123" i="3"/>
  <c r="N123" i="3"/>
  <c r="Q123" i="3"/>
  <c r="M123" i="3"/>
  <c r="A123" i="3"/>
  <c r="B123" i="3" s="1"/>
  <c r="C123" i="3" s="1"/>
  <c r="F121" i="3"/>
  <c r="E121" i="3" s="1"/>
  <c r="L99" i="3"/>
  <c r="I99" i="3"/>
  <c r="J99" i="3"/>
  <c r="S96" i="3"/>
  <c r="T96" i="3" s="1"/>
  <c r="D98" i="3"/>
  <c r="G50" i="3" l="1"/>
  <c r="F42" i="10" s="1"/>
  <c r="Q124" i="3"/>
  <c r="P124" i="3"/>
  <c r="N124" i="3"/>
  <c r="M124" i="3"/>
  <c r="A124" i="3"/>
  <c r="B124" i="3" s="1"/>
  <c r="C124" i="3" s="1"/>
  <c r="F122" i="3"/>
  <c r="E122" i="3" s="1"/>
  <c r="J100" i="3"/>
  <c r="L100" i="3"/>
  <c r="I100" i="3"/>
  <c r="U97" i="3"/>
  <c r="V97" i="3" s="1"/>
  <c r="W97" i="3" s="1"/>
  <c r="U98" i="3"/>
  <c r="V98" i="3" s="1"/>
  <c r="S97" i="3"/>
  <c r="T97" i="3" s="1"/>
  <c r="W96" i="3"/>
  <c r="D99" i="3"/>
  <c r="F50" i="3" l="1"/>
  <c r="E42" i="10" s="1"/>
  <c r="Q97" i="3"/>
  <c r="Q125" i="3"/>
  <c r="M125" i="3"/>
  <c r="P125" i="3"/>
  <c r="N125" i="3"/>
  <c r="A125" i="3"/>
  <c r="B125" i="3" s="1"/>
  <c r="C125" i="3" s="1"/>
  <c r="F123" i="3"/>
  <c r="E123" i="3" s="1"/>
  <c r="L101" i="3"/>
  <c r="I101" i="3"/>
  <c r="J101" i="3"/>
  <c r="S98" i="3"/>
  <c r="T98" i="3" s="1"/>
  <c r="U99" i="3"/>
  <c r="V99" i="3" s="1"/>
  <c r="D100" i="3"/>
  <c r="H50" i="3" l="1"/>
  <c r="D42" i="10" s="1"/>
  <c r="E50" i="3"/>
  <c r="Q126" i="3"/>
  <c r="P126" i="3"/>
  <c r="N126" i="3"/>
  <c r="M126" i="3"/>
  <c r="A126" i="3"/>
  <c r="B126" i="3" s="1"/>
  <c r="C126" i="3" s="1"/>
  <c r="F124" i="3"/>
  <c r="E124" i="3" s="1"/>
  <c r="J102" i="3"/>
  <c r="L102" i="3"/>
  <c r="I102" i="3"/>
  <c r="S99" i="3"/>
  <c r="T99" i="3" s="1"/>
  <c r="W98" i="3"/>
  <c r="D101" i="3"/>
  <c r="G51" i="3" l="1"/>
  <c r="F43" i="10" s="1"/>
  <c r="R50" i="3"/>
  <c r="Q127" i="3"/>
  <c r="P127" i="3"/>
  <c r="N127" i="3"/>
  <c r="M127" i="3"/>
  <c r="A127" i="3"/>
  <c r="B127" i="3" s="1"/>
  <c r="C127" i="3" s="1"/>
  <c r="F125" i="3"/>
  <c r="E125" i="3" s="1"/>
  <c r="L103" i="3"/>
  <c r="I103" i="3"/>
  <c r="J103" i="3"/>
  <c r="W99" i="3"/>
  <c r="U100" i="3"/>
  <c r="V100" i="3" s="1"/>
  <c r="W100" i="3" s="1"/>
  <c r="S100" i="3"/>
  <c r="T100" i="3" s="1"/>
  <c r="S101" i="3"/>
  <c r="T101" i="3" s="1"/>
  <c r="D102" i="3"/>
  <c r="F51" i="3" l="1"/>
  <c r="E43" i="10" s="1"/>
  <c r="Q128" i="3"/>
  <c r="P128" i="3"/>
  <c r="N128" i="3"/>
  <c r="M128" i="3"/>
  <c r="A128" i="3"/>
  <c r="B128" i="3" s="1"/>
  <c r="C128" i="3" s="1"/>
  <c r="F126" i="3"/>
  <c r="E126" i="3" s="1"/>
  <c r="J104" i="3"/>
  <c r="L104" i="3"/>
  <c r="I104" i="3"/>
  <c r="U101" i="3"/>
  <c r="V101" i="3" s="1"/>
  <c r="D103" i="3"/>
  <c r="E51" i="3" l="1"/>
  <c r="H51" i="3"/>
  <c r="Q129" i="3"/>
  <c r="P129" i="3"/>
  <c r="M129" i="3"/>
  <c r="N129" i="3"/>
  <c r="A129" i="3"/>
  <c r="B129" i="3" s="1"/>
  <c r="C129" i="3" s="1"/>
  <c r="F127" i="3"/>
  <c r="E127" i="3" s="1"/>
  <c r="L105" i="3"/>
  <c r="I105" i="3"/>
  <c r="J105" i="3"/>
  <c r="W101" i="3"/>
  <c r="S102" i="3"/>
  <c r="T102" i="3" s="1"/>
  <c r="U102" i="3"/>
  <c r="V102" i="3" s="1"/>
  <c r="W102" i="3" s="1"/>
  <c r="U103" i="3"/>
  <c r="V103" i="3" s="1"/>
  <c r="D104" i="3"/>
  <c r="D43" i="10" l="1"/>
  <c r="G52" i="3"/>
  <c r="F44" i="10" s="1"/>
  <c r="R51" i="3"/>
  <c r="Q130" i="3"/>
  <c r="P130" i="3"/>
  <c r="N130" i="3"/>
  <c r="M130" i="3"/>
  <c r="A130" i="3"/>
  <c r="B130" i="3" s="1"/>
  <c r="C130" i="3" s="1"/>
  <c r="F128" i="3"/>
  <c r="E128" i="3" s="1"/>
  <c r="J106" i="3"/>
  <c r="L106" i="3"/>
  <c r="I106" i="3"/>
  <c r="S103" i="3"/>
  <c r="T103" i="3" s="1"/>
  <c r="D105" i="3"/>
  <c r="F52" i="3" l="1"/>
  <c r="E44" i="10" s="1"/>
  <c r="P131" i="3"/>
  <c r="Q131" i="3"/>
  <c r="N131" i="3"/>
  <c r="M131" i="3"/>
  <c r="A131" i="3"/>
  <c r="B131" i="3" s="1"/>
  <c r="C131" i="3" s="1"/>
  <c r="F129" i="3"/>
  <c r="E129" i="3" s="1"/>
  <c r="L107" i="3"/>
  <c r="I107" i="3"/>
  <c r="J107" i="3"/>
  <c r="S104" i="3"/>
  <c r="T104" i="3" s="1"/>
  <c r="W103" i="3"/>
  <c r="U104" i="3"/>
  <c r="V104" i="3" s="1"/>
  <c r="W104" i="3" s="1"/>
  <c r="D106" i="3"/>
  <c r="H52" i="3" l="1"/>
  <c r="E52" i="3"/>
  <c r="Q132" i="3"/>
  <c r="P132" i="3"/>
  <c r="N132" i="3"/>
  <c r="M132" i="3"/>
  <c r="A132" i="3"/>
  <c r="F130" i="3"/>
  <c r="E130" i="3" s="1"/>
  <c r="J108" i="3"/>
  <c r="L108" i="3"/>
  <c r="I108" i="3"/>
  <c r="S105" i="3"/>
  <c r="T105" i="3" s="1"/>
  <c r="U105" i="3"/>
  <c r="V105" i="3" s="1"/>
  <c r="W105" i="3" s="1"/>
  <c r="D107" i="3"/>
  <c r="D44" i="10" l="1"/>
  <c r="R52" i="3"/>
  <c r="G53" i="3"/>
  <c r="F45" i="10" s="1"/>
  <c r="J133" i="3"/>
  <c r="B132" i="3"/>
  <c r="C132" i="3" s="1"/>
  <c r="Q133" i="3"/>
  <c r="M133" i="3"/>
  <c r="P133" i="3"/>
  <c r="N133" i="3"/>
  <c r="A133" i="3"/>
  <c r="B133" i="3" s="1"/>
  <c r="C133" i="3" s="1"/>
  <c r="F131" i="3"/>
  <c r="E131" i="3" s="1"/>
  <c r="S106" i="3"/>
  <c r="T106" i="3" s="1"/>
  <c r="G106" i="3" s="1"/>
  <c r="H106" i="3" s="1"/>
  <c r="L109" i="3"/>
  <c r="I109" i="3"/>
  <c r="U106" i="3"/>
  <c r="V106" i="3" s="1"/>
  <c r="W106" i="3" s="1"/>
  <c r="D108" i="3"/>
  <c r="F53" i="3" l="1"/>
  <c r="E45" i="10" s="1"/>
  <c r="Q134" i="3"/>
  <c r="P134" i="3"/>
  <c r="N134" i="3"/>
  <c r="M134" i="3"/>
  <c r="A134" i="3"/>
  <c r="B134" i="3" s="1"/>
  <c r="C134" i="3" s="1"/>
  <c r="F132" i="3"/>
  <c r="E132" i="3" s="1"/>
  <c r="J110" i="3"/>
  <c r="L110" i="3"/>
  <c r="I110" i="3"/>
  <c r="S107" i="3"/>
  <c r="T107" i="3" s="1"/>
  <c r="U107" i="3"/>
  <c r="V107" i="3" s="1"/>
  <c r="W107" i="3" s="1"/>
  <c r="D109" i="3"/>
  <c r="H53" i="3" l="1"/>
  <c r="E53" i="3"/>
  <c r="Q135" i="3"/>
  <c r="P135" i="3"/>
  <c r="N135" i="3"/>
  <c r="M135" i="3"/>
  <c r="A135" i="3"/>
  <c r="B135" i="3" s="1"/>
  <c r="C135" i="3" s="1"/>
  <c r="F133" i="3"/>
  <c r="E133" i="3" s="1"/>
  <c r="G107" i="3"/>
  <c r="H107" i="3" s="1"/>
  <c r="L111" i="3"/>
  <c r="I111" i="3"/>
  <c r="J111" i="3"/>
  <c r="R106" i="3"/>
  <c r="S108" i="3"/>
  <c r="T108" i="3" s="1"/>
  <c r="U108" i="3"/>
  <c r="V108" i="3" s="1"/>
  <c r="S109" i="3"/>
  <c r="T109" i="3" s="1"/>
  <c r="G109" i="3" s="1"/>
  <c r="H109" i="3" s="1"/>
  <c r="U109" i="3"/>
  <c r="V109" i="3" s="1"/>
  <c r="D110" i="3"/>
  <c r="D45" i="10" l="1"/>
  <c r="R53" i="3"/>
  <c r="G54" i="3"/>
  <c r="Q136" i="3"/>
  <c r="P136" i="3"/>
  <c r="N136" i="3"/>
  <c r="M136" i="3"/>
  <c r="A136" i="3"/>
  <c r="B136" i="3" s="1"/>
  <c r="C136" i="3" s="1"/>
  <c r="F134" i="3"/>
  <c r="E134" i="3" s="1"/>
  <c r="G108" i="3"/>
  <c r="H108" i="3" s="1"/>
  <c r="K109" i="3"/>
  <c r="Y9" i="3" s="1"/>
  <c r="Z9" i="3" s="1"/>
  <c r="W109" i="3"/>
  <c r="R107" i="3"/>
  <c r="J112" i="3"/>
  <c r="L112" i="3"/>
  <c r="I112" i="3"/>
  <c r="W108" i="3"/>
  <c r="U110" i="3"/>
  <c r="V110" i="3" s="1"/>
  <c r="S110" i="3"/>
  <c r="T110" i="3" s="1"/>
  <c r="D111" i="3"/>
  <c r="F46" i="10" l="1"/>
  <c r="F54" i="3"/>
  <c r="E46" i="10" s="1"/>
  <c r="Q137" i="3"/>
  <c r="P137" i="3"/>
  <c r="M137" i="3"/>
  <c r="N137" i="3"/>
  <c r="A137" i="3"/>
  <c r="B137" i="3" s="1"/>
  <c r="C137" i="3" s="1"/>
  <c r="F135" i="3"/>
  <c r="E135" i="3" s="1"/>
  <c r="G110" i="3"/>
  <c r="H110" i="3" s="1"/>
  <c r="W110" i="3"/>
  <c r="L113" i="3"/>
  <c r="I113" i="3"/>
  <c r="J113" i="3"/>
  <c r="D112" i="3"/>
  <c r="H54" i="3" l="1"/>
  <c r="E54" i="3"/>
  <c r="Q138" i="3"/>
  <c r="P138" i="3"/>
  <c r="N138" i="3"/>
  <c r="M138" i="3"/>
  <c r="A138" i="3"/>
  <c r="B138" i="3" s="1"/>
  <c r="C138" i="3" s="1"/>
  <c r="F136" i="3"/>
  <c r="E136" i="3" s="1"/>
  <c r="J114" i="3"/>
  <c r="L114" i="3"/>
  <c r="I114" i="3"/>
  <c r="R108" i="3"/>
  <c r="S111" i="3"/>
  <c r="T111" i="3" s="1"/>
  <c r="U111" i="3"/>
  <c r="V111" i="3" s="1"/>
  <c r="W111" i="3" s="1"/>
  <c r="D113" i="3"/>
  <c r="D46" i="10" l="1"/>
  <c r="R54" i="3"/>
  <c r="G55" i="3"/>
  <c r="P139" i="3"/>
  <c r="N139" i="3"/>
  <c r="Q139" i="3"/>
  <c r="M139" i="3"/>
  <c r="A139" i="3"/>
  <c r="B139" i="3" s="1"/>
  <c r="C139" i="3" s="1"/>
  <c r="F137" i="3"/>
  <c r="E137" i="3" s="1"/>
  <c r="G111" i="3"/>
  <c r="H111" i="3" s="1"/>
  <c r="R109" i="3"/>
  <c r="L115" i="3"/>
  <c r="I115" i="3"/>
  <c r="J115" i="3"/>
  <c r="R110" i="3"/>
  <c r="S112" i="3"/>
  <c r="T112" i="3" s="1"/>
  <c r="U112" i="3"/>
  <c r="V112" i="3" s="1"/>
  <c r="W112" i="3" s="1"/>
  <c r="D114" i="3"/>
  <c r="F47" i="10" l="1"/>
  <c r="F55" i="3"/>
  <c r="E47" i="10" s="1"/>
  <c r="Q140" i="3"/>
  <c r="P140" i="3"/>
  <c r="N140" i="3"/>
  <c r="M140" i="3"/>
  <c r="A140" i="3"/>
  <c r="B140" i="3" s="1"/>
  <c r="C140" i="3" s="1"/>
  <c r="F138" i="3"/>
  <c r="E138" i="3" s="1"/>
  <c r="G112" i="3"/>
  <c r="H112" i="3" s="1"/>
  <c r="J116" i="3"/>
  <c r="L116" i="3"/>
  <c r="I116" i="3"/>
  <c r="U113" i="3"/>
  <c r="V113" i="3" s="1"/>
  <c r="S113" i="3"/>
  <c r="T113" i="3" s="1"/>
  <c r="D115" i="3"/>
  <c r="H55" i="3" l="1"/>
  <c r="E55" i="3"/>
  <c r="Q141" i="3"/>
  <c r="M141" i="3"/>
  <c r="P141" i="3"/>
  <c r="N141" i="3"/>
  <c r="A141" i="3"/>
  <c r="B141" i="3" s="1"/>
  <c r="C141" i="3" s="1"/>
  <c r="F139" i="3"/>
  <c r="E139" i="3" s="1"/>
  <c r="G113" i="3"/>
  <c r="H113" i="3" s="1"/>
  <c r="R111" i="3"/>
  <c r="W113" i="3"/>
  <c r="L117" i="3"/>
  <c r="I117" i="3"/>
  <c r="J117" i="3"/>
  <c r="R112" i="3"/>
  <c r="U114" i="3"/>
  <c r="V114" i="3" s="1"/>
  <c r="W114" i="3" s="1"/>
  <c r="S114" i="3"/>
  <c r="T114" i="3" s="1"/>
  <c r="D116" i="3"/>
  <c r="D47" i="10" l="1"/>
  <c r="R55" i="3"/>
  <c r="G56" i="3"/>
  <c r="Q142" i="3"/>
  <c r="P142" i="3"/>
  <c r="N142" i="3"/>
  <c r="M142" i="3"/>
  <c r="A142" i="3"/>
  <c r="B142" i="3" s="1"/>
  <c r="C142" i="3" s="1"/>
  <c r="F140" i="3"/>
  <c r="E140" i="3" s="1"/>
  <c r="G114" i="3"/>
  <c r="H114" i="3" s="1"/>
  <c r="J118" i="3"/>
  <c r="L118" i="3"/>
  <c r="I118" i="3"/>
  <c r="R113" i="3"/>
  <c r="S115" i="3"/>
  <c r="T115" i="3" s="1"/>
  <c r="U115" i="3"/>
  <c r="V115" i="3" s="1"/>
  <c r="W115" i="3" s="1"/>
  <c r="S116" i="3"/>
  <c r="T116" i="3" s="1"/>
  <c r="D117" i="3"/>
  <c r="F48" i="10" l="1"/>
  <c r="F56" i="3"/>
  <c r="E48" i="10" s="1"/>
  <c r="Q143" i="3"/>
  <c r="P143" i="3"/>
  <c r="N143" i="3"/>
  <c r="M143" i="3"/>
  <c r="A143" i="3"/>
  <c r="B143" i="3" s="1"/>
  <c r="C143" i="3" s="1"/>
  <c r="F141" i="3"/>
  <c r="E141" i="3" s="1"/>
  <c r="G115" i="3"/>
  <c r="H115" i="3" s="1"/>
  <c r="R114" i="3"/>
  <c r="L119" i="3"/>
  <c r="I119" i="3"/>
  <c r="J119" i="3"/>
  <c r="U116" i="3"/>
  <c r="V116" i="3" s="1"/>
  <c r="D118" i="3"/>
  <c r="H56" i="3" l="1"/>
  <c r="D48" i="10" s="1"/>
  <c r="E56" i="3"/>
  <c r="Q144" i="3"/>
  <c r="P144" i="3"/>
  <c r="N144" i="3"/>
  <c r="M144" i="3"/>
  <c r="A144" i="3"/>
  <c r="B144" i="3" s="1"/>
  <c r="C144" i="3" s="1"/>
  <c r="F142" i="3"/>
  <c r="E142" i="3" s="1"/>
  <c r="G116" i="3"/>
  <c r="H116" i="3" s="1"/>
  <c r="W116" i="3"/>
  <c r="J120" i="3"/>
  <c r="L120" i="3"/>
  <c r="I120" i="3"/>
  <c r="U117" i="3"/>
  <c r="V117" i="3" s="1"/>
  <c r="S117" i="3"/>
  <c r="T117" i="3" s="1"/>
  <c r="S118" i="3"/>
  <c r="T118" i="3" s="1"/>
  <c r="G118" i="3" s="1"/>
  <c r="H118" i="3" s="1"/>
  <c r="U118" i="3"/>
  <c r="V118" i="3" s="1"/>
  <c r="D119" i="3"/>
  <c r="R56" i="3" l="1"/>
  <c r="G57" i="3"/>
  <c r="M145" i="3"/>
  <c r="N145" i="3"/>
  <c r="A145" i="3"/>
  <c r="B145" i="3" s="1"/>
  <c r="C145" i="3" s="1"/>
  <c r="F143" i="3"/>
  <c r="E143" i="3" s="1"/>
  <c r="G117" i="3"/>
  <c r="H117" i="3" s="1"/>
  <c r="W118" i="3"/>
  <c r="W117" i="3"/>
  <c r="R115" i="3"/>
  <c r="L121" i="3"/>
  <c r="I121" i="3"/>
  <c r="D120" i="3"/>
  <c r="F49" i="10" l="1"/>
  <c r="F57" i="3"/>
  <c r="E49" i="10" s="1"/>
  <c r="Q146" i="3"/>
  <c r="P146" i="3"/>
  <c r="N146" i="3"/>
  <c r="M146" i="3"/>
  <c r="A146" i="3"/>
  <c r="B146" i="3" s="1"/>
  <c r="C146" i="3" s="1"/>
  <c r="F144" i="3"/>
  <c r="E144" i="3" s="1"/>
  <c r="L122" i="3"/>
  <c r="I122" i="3"/>
  <c r="J122" i="3"/>
  <c r="R116" i="3"/>
  <c r="S119" i="3"/>
  <c r="T119" i="3" s="1"/>
  <c r="U119" i="3"/>
  <c r="V119" i="3" s="1"/>
  <c r="W119" i="3" s="1"/>
  <c r="D121" i="3"/>
  <c r="H57" i="3" l="1"/>
  <c r="D49" i="10" s="1"/>
  <c r="E57" i="3"/>
  <c r="P147" i="3"/>
  <c r="Q147" i="3"/>
  <c r="N147" i="3"/>
  <c r="M147" i="3"/>
  <c r="A147" i="3"/>
  <c r="B147" i="3" s="1"/>
  <c r="C147" i="3" s="1"/>
  <c r="F145" i="3"/>
  <c r="E145" i="3" s="1"/>
  <c r="G119" i="3"/>
  <c r="H119" i="3" s="1"/>
  <c r="J123" i="3"/>
  <c r="L123" i="3"/>
  <c r="I123" i="3"/>
  <c r="R118" i="3"/>
  <c r="R117" i="3"/>
  <c r="S120" i="3"/>
  <c r="T120" i="3" s="1"/>
  <c r="U120" i="3"/>
  <c r="V120" i="3" s="1"/>
  <c r="D122" i="3"/>
  <c r="R57" i="3" l="1"/>
  <c r="G58" i="3"/>
  <c r="Q148" i="3"/>
  <c r="P148" i="3"/>
  <c r="N148" i="3"/>
  <c r="M148" i="3"/>
  <c r="A148" i="3"/>
  <c r="B148" i="3" s="1"/>
  <c r="C148" i="3" s="1"/>
  <c r="F146" i="3"/>
  <c r="E146" i="3" s="1"/>
  <c r="K121" i="3"/>
  <c r="Y10" i="3" s="1"/>
  <c r="Z10" i="3" s="1"/>
  <c r="W120" i="3"/>
  <c r="G120" i="3" s="1"/>
  <c r="H120" i="3" s="1"/>
  <c r="L124" i="3"/>
  <c r="I124" i="3"/>
  <c r="J124" i="3"/>
  <c r="S121" i="3"/>
  <c r="T121" i="3" s="1"/>
  <c r="U121" i="3"/>
  <c r="V121" i="3" s="1"/>
  <c r="U122" i="3"/>
  <c r="V122" i="3" s="1"/>
  <c r="S122" i="3"/>
  <c r="T122" i="3" s="1"/>
  <c r="D123" i="3"/>
  <c r="F50" i="10" l="1"/>
  <c r="F58" i="3"/>
  <c r="E50" i="10" s="1"/>
  <c r="M149" i="3"/>
  <c r="N149" i="3"/>
  <c r="A149" i="3"/>
  <c r="B149" i="3" s="1"/>
  <c r="C149" i="3" s="1"/>
  <c r="F147" i="3"/>
  <c r="E147" i="3" s="1"/>
  <c r="G122" i="3"/>
  <c r="H122" i="3" s="1"/>
  <c r="G121" i="3"/>
  <c r="H121" i="3" s="1"/>
  <c r="W122" i="3"/>
  <c r="W121" i="3"/>
  <c r="J125" i="3"/>
  <c r="L125" i="3"/>
  <c r="I125" i="3"/>
  <c r="R119" i="3"/>
  <c r="D124" i="3"/>
  <c r="H58" i="3" l="1"/>
  <c r="D50" i="10" s="1"/>
  <c r="E58" i="3"/>
  <c r="N150" i="3"/>
  <c r="M150" i="3"/>
  <c r="A150" i="3"/>
  <c r="B150" i="3" s="1"/>
  <c r="C150" i="3" s="1"/>
  <c r="F148" i="3"/>
  <c r="E148" i="3" s="1"/>
  <c r="R120" i="3"/>
  <c r="L126" i="3"/>
  <c r="I126" i="3"/>
  <c r="J126" i="3"/>
  <c r="S123" i="3"/>
  <c r="T123" i="3" s="1"/>
  <c r="U123" i="3"/>
  <c r="V123" i="3" s="1"/>
  <c r="W123" i="3" s="1"/>
  <c r="D125" i="3"/>
  <c r="G59" i="3" l="1"/>
  <c r="F51" i="10" s="1"/>
  <c r="R58" i="3"/>
  <c r="Q151" i="3"/>
  <c r="P151" i="3"/>
  <c r="N151" i="3"/>
  <c r="M151" i="3"/>
  <c r="A151" i="3"/>
  <c r="B151" i="3" s="1"/>
  <c r="C151" i="3" s="1"/>
  <c r="F149" i="3"/>
  <c r="E149" i="3" s="1"/>
  <c r="G123" i="3"/>
  <c r="H123" i="3" s="1"/>
  <c r="J127" i="3"/>
  <c r="L127" i="3"/>
  <c r="I127" i="3"/>
  <c r="R122" i="3"/>
  <c r="R121" i="3"/>
  <c r="S124" i="3"/>
  <c r="T124" i="3" s="1"/>
  <c r="U124" i="3"/>
  <c r="V124" i="3" s="1"/>
  <c r="W124" i="3" s="1"/>
  <c r="D126" i="3"/>
  <c r="F59" i="3" l="1"/>
  <c r="E51" i="10" s="1"/>
  <c r="Q152" i="3"/>
  <c r="P152" i="3"/>
  <c r="N152" i="3"/>
  <c r="M152" i="3"/>
  <c r="A152" i="3"/>
  <c r="B152" i="3" s="1"/>
  <c r="C152" i="3" s="1"/>
  <c r="F150" i="3"/>
  <c r="E150" i="3" s="1"/>
  <c r="G124" i="3"/>
  <c r="H124" i="3" s="1"/>
  <c r="L128" i="3"/>
  <c r="I128" i="3"/>
  <c r="J128" i="3"/>
  <c r="R123" i="3"/>
  <c r="U125" i="3"/>
  <c r="V125" i="3" s="1"/>
  <c r="W125" i="3" s="1"/>
  <c r="S125" i="3"/>
  <c r="T125" i="3" s="1"/>
  <c r="G125" i="3" s="1"/>
  <c r="H125" i="3" s="1"/>
  <c r="U126" i="3"/>
  <c r="V126" i="3" s="1"/>
  <c r="S126" i="3"/>
  <c r="T126" i="3" s="1"/>
  <c r="D127" i="3"/>
  <c r="E59" i="3" l="1"/>
  <c r="H59" i="3"/>
  <c r="D51" i="10" s="1"/>
  <c r="G126" i="3"/>
  <c r="H126" i="3" s="1"/>
  <c r="Q153" i="3"/>
  <c r="P153" i="3"/>
  <c r="M153" i="3"/>
  <c r="N153" i="3"/>
  <c r="A153" i="3"/>
  <c r="B153" i="3" s="1"/>
  <c r="C153" i="3" s="1"/>
  <c r="F151" i="3"/>
  <c r="E151" i="3" s="1"/>
  <c r="W126" i="3"/>
  <c r="J129" i="3"/>
  <c r="L129" i="3"/>
  <c r="I129" i="3"/>
  <c r="D128" i="3"/>
  <c r="G60" i="3" l="1"/>
  <c r="F52" i="10" s="1"/>
  <c r="R59" i="3"/>
  <c r="Q154" i="3"/>
  <c r="P154" i="3"/>
  <c r="N154" i="3"/>
  <c r="M154" i="3"/>
  <c r="A154" i="3"/>
  <c r="B154" i="3" s="1"/>
  <c r="C154" i="3" s="1"/>
  <c r="F152" i="3"/>
  <c r="E152" i="3" s="1"/>
  <c r="R124" i="3"/>
  <c r="L130" i="3"/>
  <c r="I130" i="3"/>
  <c r="J130" i="3"/>
  <c r="R125" i="3"/>
  <c r="U127" i="3"/>
  <c r="V127" i="3" s="1"/>
  <c r="S127" i="3"/>
  <c r="T127" i="3" s="1"/>
  <c r="D129" i="3"/>
  <c r="F60" i="3" l="1"/>
  <c r="E52" i="10" s="1"/>
  <c r="P155" i="3"/>
  <c r="N155" i="3"/>
  <c r="Q155" i="3"/>
  <c r="M155" i="3"/>
  <c r="A155" i="3"/>
  <c r="B155" i="3" s="1"/>
  <c r="C155" i="3" s="1"/>
  <c r="F153" i="3"/>
  <c r="E153" i="3" s="1"/>
  <c r="G127" i="3"/>
  <c r="H127" i="3" s="1"/>
  <c r="R126" i="3"/>
  <c r="W127" i="3"/>
  <c r="J131" i="3"/>
  <c r="L131" i="3"/>
  <c r="I131" i="3"/>
  <c r="U128" i="3"/>
  <c r="V128" i="3" s="1"/>
  <c r="W128" i="3" s="1"/>
  <c r="S128" i="3"/>
  <c r="T128" i="3" s="1"/>
  <c r="S129" i="3"/>
  <c r="T129" i="3" s="1"/>
  <c r="D130" i="3"/>
  <c r="E60" i="3" l="1"/>
  <c r="H60" i="3"/>
  <c r="Q156" i="3"/>
  <c r="P156" i="3"/>
  <c r="N156" i="3"/>
  <c r="M156" i="3"/>
  <c r="A156" i="3"/>
  <c r="F154" i="3"/>
  <c r="E154" i="3" s="1"/>
  <c r="G128" i="3"/>
  <c r="H128" i="3" s="1"/>
  <c r="L132" i="3"/>
  <c r="I132" i="3"/>
  <c r="J132" i="3"/>
  <c r="U129" i="3"/>
  <c r="V129" i="3" s="1"/>
  <c r="D131" i="3"/>
  <c r="D52" i="10" l="1"/>
  <c r="G61" i="3"/>
  <c r="K61" i="3"/>
  <c r="O53" i="10" s="1"/>
  <c r="R60" i="3"/>
  <c r="J157" i="3"/>
  <c r="B156" i="3"/>
  <c r="C156" i="3" s="1"/>
  <c r="Q157" i="3"/>
  <c r="M157" i="3"/>
  <c r="P157" i="3"/>
  <c r="N157" i="3"/>
  <c r="A157" i="3"/>
  <c r="B157" i="3" s="1"/>
  <c r="C157" i="3" s="1"/>
  <c r="F155" i="3"/>
  <c r="E155" i="3" s="1"/>
  <c r="G129" i="3"/>
  <c r="H129" i="3" s="1"/>
  <c r="W129" i="3"/>
  <c r="L133" i="3"/>
  <c r="I133" i="3"/>
  <c r="R127" i="3"/>
  <c r="S130" i="3"/>
  <c r="T130" i="3" s="1"/>
  <c r="U130" i="3"/>
  <c r="V130" i="3" s="1"/>
  <c r="U131" i="3"/>
  <c r="V131" i="3" s="1"/>
  <c r="D132" i="3"/>
  <c r="F53" i="10" l="1"/>
  <c r="Y5" i="3"/>
  <c r="Z5" i="3" s="1"/>
  <c r="F61" i="3"/>
  <c r="E53" i="10" s="1"/>
  <c r="Q158" i="3"/>
  <c r="P158" i="3"/>
  <c r="N158" i="3"/>
  <c r="M158" i="3"/>
  <c r="A158" i="3"/>
  <c r="B158" i="3" s="1"/>
  <c r="C158" i="3" s="1"/>
  <c r="F156" i="3"/>
  <c r="E156" i="3" s="1"/>
  <c r="G130" i="3"/>
  <c r="H130" i="3" s="1"/>
  <c r="R128" i="3"/>
  <c r="W130" i="3"/>
  <c r="L134" i="3"/>
  <c r="I134" i="3"/>
  <c r="J134" i="3"/>
  <c r="S131" i="3"/>
  <c r="T131" i="3" s="1"/>
  <c r="D133" i="3"/>
  <c r="E61" i="3" l="1"/>
  <c r="Q159" i="3"/>
  <c r="P159" i="3"/>
  <c r="N159" i="3"/>
  <c r="M159" i="3"/>
  <c r="A159" i="3"/>
  <c r="B159" i="3" s="1"/>
  <c r="C159" i="3" s="1"/>
  <c r="F157" i="3"/>
  <c r="E157" i="3" s="1"/>
  <c r="G131" i="3"/>
  <c r="H131" i="3" s="1"/>
  <c r="W131" i="3"/>
  <c r="J135" i="3"/>
  <c r="L135" i="3"/>
  <c r="I135" i="3"/>
  <c r="R129" i="3"/>
  <c r="S132" i="3"/>
  <c r="T132" i="3" s="1"/>
  <c r="U132" i="3"/>
  <c r="V132" i="3" s="1"/>
  <c r="W132" i="3" s="1"/>
  <c r="D134" i="3"/>
  <c r="S133" i="3"/>
  <c r="T133" i="3" s="1"/>
  <c r="U133" i="3"/>
  <c r="V133" i="3" s="1"/>
  <c r="P62" i="3" l="1"/>
  <c r="Q54" i="10" s="1"/>
  <c r="G62" i="3"/>
  <c r="G132" i="3"/>
  <c r="H132" i="3" s="1"/>
  <c r="G133" i="3"/>
  <c r="H133" i="3" s="1"/>
  <c r="Q160" i="3"/>
  <c r="P160" i="3"/>
  <c r="N160" i="3"/>
  <c r="M160" i="3"/>
  <c r="A160" i="3"/>
  <c r="B160" i="3" s="1"/>
  <c r="C160" i="3" s="1"/>
  <c r="F158" i="3"/>
  <c r="E158" i="3" s="1"/>
  <c r="K133" i="3"/>
  <c r="Y11" i="3" s="1"/>
  <c r="Z11" i="3" s="1"/>
  <c r="W133" i="3"/>
  <c r="R131" i="3"/>
  <c r="L136" i="3"/>
  <c r="I136" i="3"/>
  <c r="J136" i="3"/>
  <c r="R130" i="3"/>
  <c r="D135" i="3"/>
  <c r="F54" i="10" l="1"/>
  <c r="F62" i="3"/>
  <c r="E54" i="10" s="1"/>
  <c r="Q161" i="3"/>
  <c r="P161" i="3"/>
  <c r="M161" i="3"/>
  <c r="N161" i="3"/>
  <c r="A161" i="3"/>
  <c r="B161" i="3" s="1"/>
  <c r="C161" i="3" s="1"/>
  <c r="F159" i="3"/>
  <c r="E159" i="3" s="1"/>
  <c r="R132" i="3"/>
  <c r="J137" i="3"/>
  <c r="L137" i="3"/>
  <c r="I137" i="3"/>
  <c r="S134" i="3"/>
  <c r="T134" i="3" s="1"/>
  <c r="U134" i="3"/>
  <c r="V134" i="3" s="1"/>
  <c r="D136" i="3"/>
  <c r="Q62" i="3" l="1"/>
  <c r="R54" i="10" s="1"/>
  <c r="H62" i="3"/>
  <c r="D54" i="10" s="1"/>
  <c r="E62" i="3"/>
  <c r="Q162" i="3"/>
  <c r="P162" i="3"/>
  <c r="N162" i="3"/>
  <c r="M162" i="3"/>
  <c r="A162" i="3"/>
  <c r="B162" i="3" s="1"/>
  <c r="C162" i="3" s="1"/>
  <c r="F160" i="3"/>
  <c r="E160" i="3" s="1"/>
  <c r="G134" i="3"/>
  <c r="H134" i="3" s="1"/>
  <c r="W134" i="3"/>
  <c r="L138" i="3"/>
  <c r="I138" i="3"/>
  <c r="J138" i="3"/>
  <c r="U135" i="3"/>
  <c r="V135" i="3" s="1"/>
  <c r="W135" i="3" s="1"/>
  <c r="S135" i="3"/>
  <c r="T135" i="3" s="1"/>
  <c r="U136" i="3"/>
  <c r="V136" i="3" s="1"/>
  <c r="D137" i="3"/>
  <c r="G63" i="3" l="1"/>
  <c r="F55" i="10" s="1"/>
  <c r="R62" i="3"/>
  <c r="P163" i="3"/>
  <c r="Q163" i="3"/>
  <c r="N163" i="3"/>
  <c r="M163" i="3"/>
  <c r="A163" i="3"/>
  <c r="B163" i="3" s="1"/>
  <c r="C163" i="3" s="1"/>
  <c r="F161" i="3"/>
  <c r="E161" i="3" s="1"/>
  <c r="G135" i="3"/>
  <c r="H135" i="3" s="1"/>
  <c r="R133" i="3"/>
  <c r="J139" i="3"/>
  <c r="L139" i="3"/>
  <c r="I139" i="3"/>
  <c r="S136" i="3"/>
  <c r="T136" i="3" s="1"/>
  <c r="D138" i="3"/>
  <c r="U137" i="3"/>
  <c r="V137" i="3" s="1"/>
  <c r="S137" i="3"/>
  <c r="T137" i="3" s="1"/>
  <c r="F63" i="3" l="1"/>
  <c r="E55" i="10" s="1"/>
  <c r="Q164" i="3"/>
  <c r="P164" i="3"/>
  <c r="N164" i="3"/>
  <c r="M164" i="3"/>
  <c r="G137" i="3"/>
  <c r="H137" i="3" s="1"/>
  <c r="G136" i="3"/>
  <c r="H136" i="3" s="1"/>
  <c r="A164" i="3"/>
  <c r="B164" i="3" s="1"/>
  <c r="C164" i="3" s="1"/>
  <c r="F162" i="3"/>
  <c r="E162" i="3" s="1"/>
  <c r="W137" i="3"/>
  <c r="W136" i="3"/>
  <c r="L140" i="3"/>
  <c r="I140" i="3"/>
  <c r="J140" i="3"/>
  <c r="R134" i="3"/>
  <c r="S138" i="3"/>
  <c r="T138" i="3" s="1"/>
  <c r="D139" i="3"/>
  <c r="E63" i="3" l="1"/>
  <c r="H63" i="3"/>
  <c r="D55" i="10" s="1"/>
  <c r="Q165" i="3"/>
  <c r="M165" i="3"/>
  <c r="P165" i="3"/>
  <c r="N165" i="3"/>
  <c r="A165" i="3"/>
  <c r="B165" i="3" s="1"/>
  <c r="C165" i="3" s="1"/>
  <c r="F163" i="3"/>
  <c r="E163" i="3" s="1"/>
  <c r="R135" i="3"/>
  <c r="J141" i="3"/>
  <c r="L141" i="3"/>
  <c r="I141" i="3"/>
  <c r="U138" i="3"/>
  <c r="V138" i="3" s="1"/>
  <c r="D140" i="3"/>
  <c r="R63" i="3" l="1"/>
  <c r="G64" i="3"/>
  <c r="F56" i="10" s="1"/>
  <c r="Q166" i="3"/>
  <c r="P166" i="3"/>
  <c r="N166" i="3"/>
  <c r="M166" i="3"/>
  <c r="A166" i="3"/>
  <c r="B166" i="3" s="1"/>
  <c r="C166" i="3" s="1"/>
  <c r="F164" i="3"/>
  <c r="E164" i="3" s="1"/>
  <c r="G138" i="3"/>
  <c r="H138" i="3" s="1"/>
  <c r="W138" i="3"/>
  <c r="L142" i="3"/>
  <c r="I142" i="3"/>
  <c r="J142" i="3"/>
  <c r="R137" i="3"/>
  <c r="R136" i="3"/>
  <c r="U139" i="3"/>
  <c r="V139" i="3" s="1"/>
  <c r="W139" i="3" s="1"/>
  <c r="S139" i="3"/>
  <c r="T139" i="3" s="1"/>
  <c r="D141" i="3"/>
  <c r="F64" i="3" l="1"/>
  <c r="E56" i="10" s="1"/>
  <c r="Q167" i="3"/>
  <c r="P167" i="3"/>
  <c r="N167" i="3"/>
  <c r="M167" i="3"/>
  <c r="A167" i="3"/>
  <c r="B167" i="3" s="1"/>
  <c r="C167" i="3" s="1"/>
  <c r="F165" i="3"/>
  <c r="E165" i="3" s="1"/>
  <c r="G139" i="3"/>
  <c r="H139" i="3" s="1"/>
  <c r="J143" i="3"/>
  <c r="L143" i="3"/>
  <c r="I143" i="3"/>
  <c r="U140" i="3"/>
  <c r="V140" i="3" s="1"/>
  <c r="S140" i="3"/>
  <c r="T140" i="3" s="1"/>
  <c r="S141" i="3"/>
  <c r="T141" i="3" s="1"/>
  <c r="D142" i="3"/>
  <c r="E64" i="3" l="1"/>
  <c r="H64" i="3"/>
  <c r="D56" i="10" s="1"/>
  <c r="Q168" i="3"/>
  <c r="P168" i="3"/>
  <c r="N168" i="3"/>
  <c r="M168" i="3"/>
  <c r="A168" i="3"/>
  <c r="F166" i="3"/>
  <c r="E166" i="3" s="1"/>
  <c r="G140" i="3"/>
  <c r="H140" i="3" s="1"/>
  <c r="W140" i="3"/>
  <c r="R138" i="3"/>
  <c r="L144" i="3"/>
  <c r="I144" i="3"/>
  <c r="J144" i="3"/>
  <c r="U141" i="3"/>
  <c r="V141" i="3" s="1"/>
  <c r="S142" i="3"/>
  <c r="T142" i="3" s="1"/>
  <c r="U142" i="3"/>
  <c r="V142" i="3" s="1"/>
  <c r="D143" i="3"/>
  <c r="G65" i="3" l="1"/>
  <c r="F57" i="10" s="1"/>
  <c r="R64" i="3"/>
  <c r="J169" i="3"/>
  <c r="B168" i="3"/>
  <c r="C168" i="3" s="1"/>
  <c r="J145" i="3"/>
  <c r="Q169" i="3"/>
  <c r="P169" i="3"/>
  <c r="M169" i="3"/>
  <c r="N169" i="3"/>
  <c r="A169" i="3"/>
  <c r="B169" i="3" s="1"/>
  <c r="C169" i="3" s="1"/>
  <c r="F167" i="3"/>
  <c r="E167" i="3" s="1"/>
  <c r="G142" i="3"/>
  <c r="H142" i="3" s="1"/>
  <c r="G141" i="3"/>
  <c r="H141" i="3" s="1"/>
  <c r="R139" i="3"/>
  <c r="W142" i="3"/>
  <c r="W141" i="3"/>
  <c r="L145" i="3"/>
  <c r="I145" i="3"/>
  <c r="U143" i="3"/>
  <c r="V143" i="3" s="1"/>
  <c r="S143" i="3"/>
  <c r="T143" i="3" s="1"/>
  <c r="G143" i="3" s="1"/>
  <c r="H143" i="3" s="1"/>
  <c r="D144" i="3"/>
  <c r="F65" i="3" l="1"/>
  <c r="E57" i="10" s="1"/>
  <c r="Q170" i="3"/>
  <c r="P170" i="3"/>
  <c r="N170" i="3"/>
  <c r="M170" i="3"/>
  <c r="A170" i="3"/>
  <c r="B170" i="3" s="1"/>
  <c r="C170" i="3" s="1"/>
  <c r="F168" i="3"/>
  <c r="E168" i="3" s="1"/>
  <c r="R140" i="3"/>
  <c r="W143" i="3"/>
  <c r="L146" i="3"/>
  <c r="I146" i="3"/>
  <c r="J146" i="3"/>
  <c r="U144" i="3"/>
  <c r="V144" i="3" s="1"/>
  <c r="S144" i="3"/>
  <c r="T144" i="3" s="1"/>
  <c r="D145" i="3"/>
  <c r="E65" i="3" l="1"/>
  <c r="H65" i="3"/>
  <c r="D57" i="10" s="1"/>
  <c r="P171" i="3"/>
  <c r="N171" i="3"/>
  <c r="Q171" i="3"/>
  <c r="M171" i="3"/>
  <c r="A171" i="3"/>
  <c r="B171" i="3" s="1"/>
  <c r="C171" i="3" s="1"/>
  <c r="F169" i="3"/>
  <c r="E169" i="3" s="1"/>
  <c r="G144" i="3"/>
  <c r="H144" i="3" s="1"/>
  <c r="P145" i="3" s="1"/>
  <c r="W144" i="3"/>
  <c r="J147" i="3"/>
  <c r="L147" i="3"/>
  <c r="I147" i="3"/>
  <c r="R142" i="3"/>
  <c r="R141" i="3"/>
  <c r="S145" i="3"/>
  <c r="T145" i="3" s="1"/>
  <c r="U145" i="3"/>
  <c r="V145" i="3" s="1"/>
  <c r="D146" i="3"/>
  <c r="G66" i="3" l="1"/>
  <c r="F58" i="10" s="1"/>
  <c r="R65" i="3"/>
  <c r="G145" i="3"/>
  <c r="H145" i="3" s="1"/>
  <c r="Q172" i="3"/>
  <c r="P172" i="3"/>
  <c r="N172" i="3"/>
  <c r="M172" i="3"/>
  <c r="A172" i="3"/>
  <c r="B172" i="3" s="1"/>
  <c r="C172" i="3" s="1"/>
  <c r="F170" i="3"/>
  <c r="E170" i="3" s="1"/>
  <c r="K145" i="3"/>
  <c r="Y12" i="3" s="1"/>
  <c r="Z12" i="3" s="1"/>
  <c r="W145" i="3"/>
  <c r="L148" i="3"/>
  <c r="I148" i="3"/>
  <c r="J148" i="3"/>
  <c r="R143" i="3"/>
  <c r="D147" i="3"/>
  <c r="F66" i="3" l="1"/>
  <c r="E58" i="10" s="1"/>
  <c r="Q173" i="3"/>
  <c r="M173" i="3"/>
  <c r="P173" i="3"/>
  <c r="N173" i="3"/>
  <c r="Q145" i="3"/>
  <c r="A173" i="3"/>
  <c r="B173" i="3" s="1"/>
  <c r="C173" i="3" s="1"/>
  <c r="F171" i="3"/>
  <c r="E171" i="3" s="1"/>
  <c r="J149" i="3"/>
  <c r="L149" i="3"/>
  <c r="I149" i="3"/>
  <c r="R144" i="3"/>
  <c r="S146" i="3"/>
  <c r="T146" i="3" s="1"/>
  <c r="U146" i="3"/>
  <c r="V146" i="3" s="1"/>
  <c r="W146" i="3" s="1"/>
  <c r="S147" i="3"/>
  <c r="T147" i="3" s="1"/>
  <c r="D148" i="3"/>
  <c r="E66" i="3" l="1"/>
  <c r="H66" i="3"/>
  <c r="D58" i="10" s="1"/>
  <c r="Q174" i="3"/>
  <c r="P174" i="3"/>
  <c r="N174" i="3"/>
  <c r="M174" i="3"/>
  <c r="A174" i="3"/>
  <c r="B174" i="3" s="1"/>
  <c r="C174" i="3" s="1"/>
  <c r="F172" i="3"/>
  <c r="E172" i="3" s="1"/>
  <c r="G146" i="3"/>
  <c r="H146" i="3" s="1"/>
  <c r="L150" i="3"/>
  <c r="I150" i="3"/>
  <c r="J150" i="3"/>
  <c r="R145" i="3"/>
  <c r="U147" i="3"/>
  <c r="V147" i="3" s="1"/>
  <c r="D149" i="3"/>
  <c r="G67" i="3" l="1"/>
  <c r="F59" i="10" s="1"/>
  <c r="R66" i="3"/>
  <c r="Q175" i="3"/>
  <c r="P175" i="3"/>
  <c r="N175" i="3"/>
  <c r="M175" i="3"/>
  <c r="A175" i="3"/>
  <c r="B175" i="3" s="1"/>
  <c r="C175" i="3" s="1"/>
  <c r="F173" i="3"/>
  <c r="E173" i="3" s="1"/>
  <c r="G147" i="3"/>
  <c r="H147" i="3" s="1"/>
  <c r="W147" i="3"/>
  <c r="J151" i="3"/>
  <c r="L151" i="3"/>
  <c r="I151" i="3"/>
  <c r="R146" i="3"/>
  <c r="U148" i="3"/>
  <c r="V148" i="3" s="1"/>
  <c r="W148" i="3" s="1"/>
  <c r="S148" i="3"/>
  <c r="T148" i="3" s="1"/>
  <c r="D150" i="3"/>
  <c r="F67" i="3" l="1"/>
  <c r="E59" i="10" s="1"/>
  <c r="Q176" i="3"/>
  <c r="P176" i="3"/>
  <c r="N176" i="3"/>
  <c r="M176" i="3"/>
  <c r="A176" i="3"/>
  <c r="B176" i="3" s="1"/>
  <c r="C176" i="3" s="1"/>
  <c r="F174" i="3"/>
  <c r="E174" i="3" s="1"/>
  <c r="G148" i="3"/>
  <c r="H148" i="3" s="1"/>
  <c r="P149" i="3" s="1"/>
  <c r="L152" i="3"/>
  <c r="I152" i="3"/>
  <c r="J152" i="3"/>
  <c r="S149" i="3"/>
  <c r="T149" i="3" s="1"/>
  <c r="U149" i="3"/>
  <c r="V149" i="3" s="1"/>
  <c r="W149" i="3" s="1"/>
  <c r="D151" i="3"/>
  <c r="E67" i="3" l="1"/>
  <c r="H67" i="3"/>
  <c r="D59" i="10" s="1"/>
  <c r="Q177" i="3"/>
  <c r="P177" i="3"/>
  <c r="M177" i="3"/>
  <c r="N177" i="3"/>
  <c r="A177" i="3"/>
  <c r="B177" i="3" s="1"/>
  <c r="C177" i="3" s="1"/>
  <c r="F175" i="3"/>
  <c r="E175" i="3" s="1"/>
  <c r="G149" i="3"/>
  <c r="J153" i="3"/>
  <c r="L153" i="3"/>
  <c r="I153" i="3"/>
  <c r="R148" i="3"/>
  <c r="R147" i="3"/>
  <c r="S150" i="3"/>
  <c r="T150" i="3" s="1"/>
  <c r="U150" i="3"/>
  <c r="V150" i="3" s="1"/>
  <c r="W150" i="3" s="1"/>
  <c r="D152" i="3"/>
  <c r="S151" i="3"/>
  <c r="T151" i="3" s="1"/>
  <c r="U151" i="3"/>
  <c r="V151" i="3" s="1"/>
  <c r="G68" i="3" l="1"/>
  <c r="F60" i="10" s="1"/>
  <c r="R67" i="3"/>
  <c r="H149" i="3"/>
  <c r="P150" i="3" s="1"/>
  <c r="Q149" i="3"/>
  <c r="Q178" i="3"/>
  <c r="P178" i="3"/>
  <c r="N178" i="3"/>
  <c r="M178" i="3"/>
  <c r="A178" i="3"/>
  <c r="B178" i="3" s="1"/>
  <c r="C178" i="3" s="1"/>
  <c r="F176" i="3"/>
  <c r="E176" i="3" s="1"/>
  <c r="G150" i="3"/>
  <c r="G151" i="3"/>
  <c r="H151" i="3" s="1"/>
  <c r="W151" i="3"/>
  <c r="L154" i="3"/>
  <c r="I154" i="3"/>
  <c r="J154" i="3"/>
  <c r="U152" i="3"/>
  <c r="V152" i="3" s="1"/>
  <c r="D153" i="3"/>
  <c r="F68" i="3" l="1"/>
  <c r="E60" i="10" s="1"/>
  <c r="H150" i="3"/>
  <c r="Q150" i="3"/>
  <c r="P179" i="3"/>
  <c r="Q179" i="3"/>
  <c r="N179" i="3"/>
  <c r="M179" i="3"/>
  <c r="A179" i="3"/>
  <c r="B179" i="3" s="1"/>
  <c r="C179" i="3" s="1"/>
  <c r="F177" i="3"/>
  <c r="E177" i="3" s="1"/>
  <c r="R149" i="3"/>
  <c r="J155" i="3"/>
  <c r="L155" i="3"/>
  <c r="I155" i="3"/>
  <c r="S152" i="3"/>
  <c r="T152" i="3" s="1"/>
  <c r="S153" i="3"/>
  <c r="T153" i="3" s="1"/>
  <c r="D154" i="3"/>
  <c r="E68" i="3" l="1"/>
  <c r="H68" i="3"/>
  <c r="D60" i="10" s="1"/>
  <c r="R150" i="3"/>
  <c r="Q180" i="3"/>
  <c r="P180" i="3"/>
  <c r="N180" i="3"/>
  <c r="M180" i="3"/>
  <c r="A180" i="3"/>
  <c r="F178" i="3"/>
  <c r="E178" i="3" s="1"/>
  <c r="G152" i="3"/>
  <c r="H152" i="3" s="1"/>
  <c r="W152" i="3"/>
  <c r="L156" i="3"/>
  <c r="I156" i="3"/>
  <c r="J156" i="3"/>
  <c r="R151" i="3"/>
  <c r="U153" i="3"/>
  <c r="V153" i="3" s="1"/>
  <c r="D155" i="3"/>
  <c r="R68" i="3" l="1"/>
  <c r="G69" i="3"/>
  <c r="F61" i="10" s="1"/>
  <c r="J181" i="3"/>
  <c r="B180" i="3"/>
  <c r="C180" i="3" s="1"/>
  <c r="Q181" i="3"/>
  <c r="M181" i="3"/>
  <c r="P181" i="3"/>
  <c r="N181" i="3"/>
  <c r="A181" i="3"/>
  <c r="B181" i="3" s="1"/>
  <c r="C181" i="3" s="1"/>
  <c r="F179" i="3"/>
  <c r="E179" i="3" s="1"/>
  <c r="G153" i="3"/>
  <c r="H153" i="3" s="1"/>
  <c r="W153" i="3"/>
  <c r="L157" i="3"/>
  <c r="I157" i="3"/>
  <c r="S154" i="3"/>
  <c r="T154" i="3" s="1"/>
  <c r="U154" i="3"/>
  <c r="V154" i="3" s="1"/>
  <c r="W154" i="3" s="1"/>
  <c r="D156" i="3"/>
  <c r="F69" i="3" l="1"/>
  <c r="E61" i="10" s="1"/>
  <c r="Q182" i="3"/>
  <c r="P182" i="3"/>
  <c r="N182" i="3"/>
  <c r="M182" i="3"/>
  <c r="A182" i="3"/>
  <c r="B182" i="3" s="1"/>
  <c r="C182" i="3" s="1"/>
  <c r="F180" i="3"/>
  <c r="E180" i="3" s="1"/>
  <c r="G154" i="3"/>
  <c r="H154" i="3" s="1"/>
  <c r="L158" i="3"/>
  <c r="I158" i="3"/>
  <c r="J158" i="3"/>
  <c r="R152" i="3"/>
  <c r="U155" i="3"/>
  <c r="V155" i="3" s="1"/>
  <c r="W155" i="3" s="1"/>
  <c r="S155" i="3"/>
  <c r="T155" i="3" s="1"/>
  <c r="D157" i="3"/>
  <c r="E69" i="3" l="1"/>
  <c r="H69" i="3"/>
  <c r="D61" i="10" s="1"/>
  <c r="Q183" i="3"/>
  <c r="P183" i="3"/>
  <c r="N183" i="3"/>
  <c r="M183" i="3"/>
  <c r="A183" i="3"/>
  <c r="B183" i="3" s="1"/>
  <c r="C183" i="3" s="1"/>
  <c r="F181" i="3"/>
  <c r="E181" i="3" s="1"/>
  <c r="G155" i="3"/>
  <c r="H155" i="3" s="1"/>
  <c r="J159" i="3"/>
  <c r="L159" i="3"/>
  <c r="I159" i="3"/>
  <c r="R153" i="3"/>
  <c r="S156" i="3"/>
  <c r="T156" i="3" s="1"/>
  <c r="U156" i="3"/>
  <c r="V156" i="3" s="1"/>
  <c r="D158" i="3"/>
  <c r="G70" i="3" l="1"/>
  <c r="F62" i="10" s="1"/>
  <c r="R69" i="3"/>
  <c r="G156" i="3"/>
  <c r="H156" i="3" s="1"/>
  <c r="Q184" i="3"/>
  <c r="P184" i="3"/>
  <c r="N184" i="3"/>
  <c r="M184" i="3"/>
  <c r="A184" i="3"/>
  <c r="B184" i="3" s="1"/>
  <c r="C184" i="3" s="1"/>
  <c r="F182" i="3"/>
  <c r="E182" i="3" s="1"/>
  <c r="K157" i="3"/>
  <c r="R154" i="3"/>
  <c r="W156" i="3"/>
  <c r="L160" i="3"/>
  <c r="I160" i="3"/>
  <c r="J160" i="3"/>
  <c r="R155" i="3"/>
  <c r="S157" i="3"/>
  <c r="T157" i="3" s="1"/>
  <c r="G157" i="3" s="1"/>
  <c r="H157" i="3" s="1"/>
  <c r="U157" i="3"/>
  <c r="V157" i="3" s="1"/>
  <c r="W157" i="3" s="1"/>
  <c r="D159" i="3"/>
  <c r="F70" i="3" l="1"/>
  <c r="E62" i="10" s="1"/>
  <c r="Q185" i="3"/>
  <c r="P185" i="3"/>
  <c r="M185" i="3"/>
  <c r="N185" i="3"/>
  <c r="A185" i="3"/>
  <c r="B185" i="3" s="1"/>
  <c r="C185" i="3" s="1"/>
  <c r="F183" i="3"/>
  <c r="E183" i="3" s="1"/>
  <c r="Y13" i="3"/>
  <c r="Z13" i="3" s="1"/>
  <c r="J161" i="3"/>
  <c r="L161" i="3"/>
  <c r="I161" i="3"/>
  <c r="U158" i="3"/>
  <c r="V158" i="3" s="1"/>
  <c r="W158" i="3" s="1"/>
  <c r="S158" i="3"/>
  <c r="T158" i="3" s="1"/>
  <c r="U159" i="3"/>
  <c r="V159" i="3" s="1"/>
  <c r="S159" i="3"/>
  <c r="T159" i="3" s="1"/>
  <c r="D160" i="3"/>
  <c r="E70" i="3" l="1"/>
  <c r="H70" i="3"/>
  <c r="D62" i="10" s="1"/>
  <c r="Q186" i="3"/>
  <c r="P186" i="3"/>
  <c r="N186" i="3"/>
  <c r="M186" i="3"/>
  <c r="A186" i="3"/>
  <c r="B186" i="3" s="1"/>
  <c r="C186" i="3" s="1"/>
  <c r="F184" i="3"/>
  <c r="E184" i="3" s="1"/>
  <c r="G159" i="3"/>
  <c r="H159" i="3" s="1"/>
  <c r="G158" i="3"/>
  <c r="H158" i="3" s="1"/>
  <c r="W159" i="3"/>
  <c r="L162" i="3"/>
  <c r="I162" i="3"/>
  <c r="J162" i="3"/>
  <c r="R156" i="3"/>
  <c r="D161" i="3"/>
  <c r="G71" i="3" l="1"/>
  <c r="F63" i="10" s="1"/>
  <c r="R70" i="3"/>
  <c r="P187" i="3"/>
  <c r="N187" i="3"/>
  <c r="Q187" i="3"/>
  <c r="M187" i="3"/>
  <c r="A187" i="3"/>
  <c r="B187" i="3" s="1"/>
  <c r="C187" i="3" s="1"/>
  <c r="F185" i="3"/>
  <c r="E185" i="3" s="1"/>
  <c r="R157" i="3"/>
  <c r="J163" i="3"/>
  <c r="L163" i="3"/>
  <c r="I163" i="3"/>
  <c r="R158" i="3"/>
  <c r="S160" i="3"/>
  <c r="T160" i="3" s="1"/>
  <c r="U160" i="3"/>
  <c r="V160" i="3" s="1"/>
  <c r="W160" i="3" s="1"/>
  <c r="S161" i="3"/>
  <c r="T161" i="3" s="1"/>
  <c r="U161" i="3"/>
  <c r="V161" i="3" s="1"/>
  <c r="D162" i="3"/>
  <c r="F71" i="3" l="1"/>
  <c r="E63" i="10" s="1"/>
  <c r="Q188" i="3"/>
  <c r="P188" i="3"/>
  <c r="N188" i="3"/>
  <c r="M188" i="3"/>
  <c r="A188" i="3"/>
  <c r="B188" i="3" s="1"/>
  <c r="C188" i="3" s="1"/>
  <c r="F186" i="3"/>
  <c r="E186" i="3" s="1"/>
  <c r="G161" i="3"/>
  <c r="H161" i="3" s="1"/>
  <c r="G160" i="3"/>
  <c r="H160" i="3" s="1"/>
  <c r="W161" i="3"/>
  <c r="L164" i="3"/>
  <c r="I164" i="3"/>
  <c r="J164" i="3"/>
  <c r="R159" i="3"/>
  <c r="D163" i="3"/>
  <c r="E71" i="3" l="1"/>
  <c r="H71" i="3"/>
  <c r="D63" i="10" s="1"/>
  <c r="Q189" i="3"/>
  <c r="M189" i="3"/>
  <c r="P189" i="3"/>
  <c r="N189" i="3"/>
  <c r="A189" i="3"/>
  <c r="B189" i="3" s="1"/>
  <c r="C189" i="3" s="1"/>
  <c r="F187" i="3"/>
  <c r="E187" i="3" s="1"/>
  <c r="R160" i="3"/>
  <c r="J165" i="3"/>
  <c r="L165" i="3"/>
  <c r="I165" i="3"/>
  <c r="U162" i="3"/>
  <c r="V162" i="3" s="1"/>
  <c r="W162" i="3" s="1"/>
  <c r="S162" i="3"/>
  <c r="T162" i="3" s="1"/>
  <c r="S163" i="3"/>
  <c r="T163" i="3" s="1"/>
  <c r="U163" i="3"/>
  <c r="V163" i="3" s="1"/>
  <c r="D164" i="3"/>
  <c r="G72" i="3" l="1"/>
  <c r="F64" i="10" s="1"/>
  <c r="R71" i="3"/>
  <c r="Q190" i="3"/>
  <c r="P190" i="3"/>
  <c r="N190" i="3"/>
  <c r="M190" i="3"/>
  <c r="A190" i="3"/>
  <c r="B190" i="3" s="1"/>
  <c r="C190" i="3" s="1"/>
  <c r="F188" i="3"/>
  <c r="E188" i="3" s="1"/>
  <c r="G163" i="3"/>
  <c r="H163" i="3" s="1"/>
  <c r="G162" i="3"/>
  <c r="H162" i="3" s="1"/>
  <c r="W163" i="3"/>
  <c r="L166" i="3"/>
  <c r="I166" i="3"/>
  <c r="J166" i="3"/>
  <c r="R161" i="3"/>
  <c r="U164" i="3"/>
  <c r="V164" i="3" s="1"/>
  <c r="S164" i="3"/>
  <c r="T164" i="3" s="1"/>
  <c r="D165" i="3"/>
  <c r="F72" i="3" l="1"/>
  <c r="E64" i="10" s="1"/>
  <c r="Q191" i="3"/>
  <c r="P191" i="3"/>
  <c r="N191" i="3"/>
  <c r="M191" i="3"/>
  <c r="A191" i="3"/>
  <c r="B191" i="3" s="1"/>
  <c r="C191" i="3" s="1"/>
  <c r="F189" i="3"/>
  <c r="E189" i="3" s="1"/>
  <c r="G164" i="3"/>
  <c r="H164" i="3" s="1"/>
  <c r="W164" i="3"/>
  <c r="J167" i="3"/>
  <c r="L167" i="3"/>
  <c r="I167" i="3"/>
  <c r="D166" i="3"/>
  <c r="E72" i="3" l="1"/>
  <c r="H72" i="3"/>
  <c r="Q192" i="3"/>
  <c r="P192" i="3"/>
  <c r="N192" i="3"/>
  <c r="M192" i="3"/>
  <c r="A192" i="3"/>
  <c r="F190" i="3"/>
  <c r="E190" i="3" s="1"/>
  <c r="R162" i="3"/>
  <c r="L168" i="3"/>
  <c r="I168" i="3"/>
  <c r="J168" i="3"/>
  <c r="R163" i="3"/>
  <c r="U165" i="3"/>
  <c r="V165" i="3" s="1"/>
  <c r="W165" i="3" s="1"/>
  <c r="S165" i="3"/>
  <c r="T165" i="3" s="1"/>
  <c r="D167" i="3"/>
  <c r="D64" i="10" l="1"/>
  <c r="P73" i="3"/>
  <c r="Q65" i="10" s="1"/>
  <c r="K73" i="3"/>
  <c r="O65" i="10" s="1"/>
  <c r="G73" i="3"/>
  <c r="R72" i="3"/>
  <c r="J193" i="3"/>
  <c r="B192" i="3"/>
  <c r="C192" i="3" s="1"/>
  <c r="Q193" i="3"/>
  <c r="P193" i="3"/>
  <c r="M193" i="3"/>
  <c r="N193" i="3"/>
  <c r="A193" i="3"/>
  <c r="B193" i="3" s="1"/>
  <c r="C193" i="3" s="1"/>
  <c r="F191" i="3"/>
  <c r="E191" i="3" s="1"/>
  <c r="G165" i="3"/>
  <c r="H165" i="3" s="1"/>
  <c r="L169" i="3"/>
  <c r="I169" i="3"/>
  <c r="R164" i="3"/>
  <c r="U166" i="3"/>
  <c r="V166" i="3" s="1"/>
  <c r="W166" i="3" s="1"/>
  <c r="S166" i="3"/>
  <c r="T166" i="3" s="1"/>
  <c r="D168" i="3"/>
  <c r="F65" i="10" l="1"/>
  <c r="F73" i="3"/>
  <c r="E65" i="10" s="1"/>
  <c r="Y6" i="3"/>
  <c r="Z6" i="3" s="1"/>
  <c r="Q194" i="3"/>
  <c r="P194" i="3"/>
  <c r="N194" i="3"/>
  <c r="M194" i="3"/>
  <c r="A194" i="3"/>
  <c r="B194" i="3" s="1"/>
  <c r="C194" i="3" s="1"/>
  <c r="F192" i="3"/>
  <c r="E192" i="3" s="1"/>
  <c r="G166" i="3"/>
  <c r="H166" i="3" s="1"/>
  <c r="L170" i="3"/>
  <c r="I170" i="3"/>
  <c r="J170" i="3"/>
  <c r="S167" i="3"/>
  <c r="T167" i="3" s="1"/>
  <c r="U167" i="3"/>
  <c r="V167" i="3" s="1"/>
  <c r="W167" i="3" s="1"/>
  <c r="U168" i="3"/>
  <c r="V168" i="3" s="1"/>
  <c r="S168" i="3"/>
  <c r="T168" i="3" s="1"/>
  <c r="D169" i="3"/>
  <c r="Q73" i="3" l="1"/>
  <c r="R65" i="10" s="1"/>
  <c r="H73" i="3"/>
  <c r="D65" i="10" s="1"/>
  <c r="E73" i="3"/>
  <c r="P195" i="3"/>
  <c r="Q195" i="3"/>
  <c r="N195" i="3"/>
  <c r="M195" i="3"/>
  <c r="A195" i="3"/>
  <c r="B195" i="3" s="1"/>
  <c r="C195" i="3" s="1"/>
  <c r="F193" i="3"/>
  <c r="E193" i="3" s="1"/>
  <c r="G167" i="3"/>
  <c r="H167" i="3" s="1"/>
  <c r="W168" i="3"/>
  <c r="G168" i="3" s="1"/>
  <c r="H168" i="3" s="1"/>
  <c r="R165" i="3"/>
  <c r="R166" i="3"/>
  <c r="J171" i="3"/>
  <c r="L171" i="3"/>
  <c r="I171" i="3"/>
  <c r="D170" i="3"/>
  <c r="U169" i="3"/>
  <c r="V169" i="3" s="1"/>
  <c r="G74" i="3" l="1"/>
  <c r="F66" i="10" s="1"/>
  <c r="R73" i="3"/>
  <c r="Q196" i="3"/>
  <c r="P196" i="3"/>
  <c r="N196" i="3"/>
  <c r="M196" i="3"/>
  <c r="A196" i="3"/>
  <c r="B196" i="3" s="1"/>
  <c r="C196" i="3" s="1"/>
  <c r="F194" i="3"/>
  <c r="E194" i="3" s="1"/>
  <c r="K169" i="3"/>
  <c r="Y14" i="3" s="1"/>
  <c r="Z14" i="3" s="1"/>
  <c r="W169" i="3"/>
  <c r="L172" i="3"/>
  <c r="I172" i="3"/>
  <c r="J172" i="3"/>
  <c r="S169" i="3"/>
  <c r="T169" i="3" s="1"/>
  <c r="G169" i="3" s="1"/>
  <c r="H169" i="3" s="1"/>
  <c r="D171" i="3"/>
  <c r="F74" i="3" l="1"/>
  <c r="E66" i="10" s="1"/>
  <c r="Q197" i="3"/>
  <c r="M197" i="3"/>
  <c r="P197" i="3"/>
  <c r="N197" i="3"/>
  <c r="A197" i="3"/>
  <c r="B197" i="3" s="1"/>
  <c r="C197" i="3" s="1"/>
  <c r="F195" i="3"/>
  <c r="E195" i="3" s="1"/>
  <c r="R167" i="3"/>
  <c r="J173" i="3"/>
  <c r="L173" i="3"/>
  <c r="I173" i="3"/>
  <c r="R168" i="3"/>
  <c r="S170" i="3"/>
  <c r="T170" i="3" s="1"/>
  <c r="U170" i="3"/>
  <c r="V170" i="3" s="1"/>
  <c r="U171" i="3"/>
  <c r="V171" i="3" s="1"/>
  <c r="D172" i="3"/>
  <c r="E74" i="3" l="1"/>
  <c r="H74" i="3"/>
  <c r="D66" i="10" s="1"/>
  <c r="P198" i="3"/>
  <c r="Q198" i="3"/>
  <c r="N198" i="3"/>
  <c r="M198" i="3"/>
  <c r="A198" i="3"/>
  <c r="B198" i="3" s="1"/>
  <c r="C198" i="3" s="1"/>
  <c r="F196" i="3"/>
  <c r="E196" i="3" s="1"/>
  <c r="G170" i="3"/>
  <c r="H170" i="3" s="1"/>
  <c r="W170" i="3"/>
  <c r="L174" i="3"/>
  <c r="I174" i="3"/>
  <c r="J174" i="3"/>
  <c r="S171" i="3"/>
  <c r="T171" i="3" s="1"/>
  <c r="S172" i="3"/>
  <c r="T172" i="3" s="1"/>
  <c r="U172" i="3"/>
  <c r="V172" i="3" s="1"/>
  <c r="D173" i="3"/>
  <c r="G75" i="3" l="1"/>
  <c r="F67" i="10" s="1"/>
  <c r="R74" i="3"/>
  <c r="Q199" i="3"/>
  <c r="P199" i="3"/>
  <c r="N199" i="3"/>
  <c r="M199" i="3"/>
  <c r="A199" i="3"/>
  <c r="B199" i="3" s="1"/>
  <c r="C199" i="3" s="1"/>
  <c r="F197" i="3"/>
  <c r="E197" i="3" s="1"/>
  <c r="G172" i="3"/>
  <c r="H172" i="3" s="1"/>
  <c r="G171" i="3"/>
  <c r="H171" i="3" s="1"/>
  <c r="R169" i="3"/>
  <c r="R170" i="3"/>
  <c r="W172" i="3"/>
  <c r="W171" i="3"/>
  <c r="J175" i="3"/>
  <c r="L175" i="3"/>
  <c r="I175" i="3"/>
  <c r="D174" i="3"/>
  <c r="F75" i="3" l="1"/>
  <c r="E67" i="10" s="1"/>
  <c r="P200" i="3"/>
  <c r="N200" i="3"/>
  <c r="M200" i="3"/>
  <c r="Q200" i="3"/>
  <c r="A200" i="3"/>
  <c r="B200" i="3" s="1"/>
  <c r="C200" i="3" s="1"/>
  <c r="F198" i="3"/>
  <c r="E198" i="3" s="1"/>
  <c r="L176" i="3"/>
  <c r="I176" i="3"/>
  <c r="J176" i="3"/>
  <c r="U173" i="3"/>
  <c r="V173" i="3" s="1"/>
  <c r="W173" i="3" s="1"/>
  <c r="S173" i="3"/>
  <c r="T173" i="3" s="1"/>
  <c r="D175" i="3"/>
  <c r="E75" i="3" l="1"/>
  <c r="H75" i="3"/>
  <c r="D67" i="10" s="1"/>
  <c r="Q201" i="3"/>
  <c r="P201" i="3"/>
  <c r="M201" i="3"/>
  <c r="N201" i="3"/>
  <c r="A201" i="3"/>
  <c r="B201" i="3" s="1"/>
  <c r="C201" i="3" s="1"/>
  <c r="F199" i="3"/>
  <c r="E199" i="3" s="1"/>
  <c r="G173" i="3"/>
  <c r="H173" i="3" s="1"/>
  <c r="J177" i="3"/>
  <c r="L177" i="3"/>
  <c r="I177" i="3"/>
  <c r="R172" i="3"/>
  <c r="R171" i="3"/>
  <c r="U174" i="3"/>
  <c r="V174" i="3" s="1"/>
  <c r="W174" i="3" s="1"/>
  <c r="S174" i="3"/>
  <c r="T174" i="3" s="1"/>
  <c r="S175" i="3"/>
  <c r="T175" i="3" s="1"/>
  <c r="U175" i="3"/>
  <c r="V175" i="3" s="1"/>
  <c r="D176" i="3"/>
  <c r="G175" i="3"/>
  <c r="H175" i="3" s="1"/>
  <c r="G76" i="3" l="1"/>
  <c r="F68" i="10" s="1"/>
  <c r="R75" i="3"/>
  <c r="P202" i="3"/>
  <c r="Q202" i="3"/>
  <c r="N202" i="3"/>
  <c r="M202" i="3"/>
  <c r="A202" i="3"/>
  <c r="B202" i="3" s="1"/>
  <c r="C202" i="3" s="1"/>
  <c r="F200" i="3"/>
  <c r="E200" i="3" s="1"/>
  <c r="G174" i="3"/>
  <c r="H174" i="3" s="1"/>
  <c r="R173" i="3"/>
  <c r="W175" i="3"/>
  <c r="L178" i="3"/>
  <c r="I178" i="3"/>
  <c r="J178" i="3"/>
  <c r="S176" i="3"/>
  <c r="T176" i="3" s="1"/>
  <c r="D177" i="3"/>
  <c r="F76" i="3" l="1"/>
  <c r="E68" i="10" s="1"/>
  <c r="Q203" i="3"/>
  <c r="P203" i="3"/>
  <c r="N203" i="3"/>
  <c r="M203" i="3"/>
  <c r="A203" i="3"/>
  <c r="B203" i="3" s="1"/>
  <c r="C203" i="3" s="1"/>
  <c r="F201" i="3"/>
  <c r="E201" i="3" s="1"/>
  <c r="R174" i="3"/>
  <c r="J179" i="3"/>
  <c r="L179" i="3"/>
  <c r="I179" i="3"/>
  <c r="U176" i="3"/>
  <c r="V176" i="3" s="1"/>
  <c r="U177" i="3"/>
  <c r="V177" i="3" s="1"/>
  <c r="S177" i="3"/>
  <c r="T177" i="3" s="1"/>
  <c r="D178" i="3"/>
  <c r="E76" i="3" l="1"/>
  <c r="H76" i="3"/>
  <c r="D68" i="10" s="1"/>
  <c r="P204" i="3"/>
  <c r="N204" i="3"/>
  <c r="M204" i="3"/>
  <c r="Q204" i="3"/>
  <c r="A204" i="3"/>
  <c r="F202" i="3"/>
  <c r="E202" i="3" s="1"/>
  <c r="G177" i="3"/>
  <c r="H177" i="3" s="1"/>
  <c r="G176" i="3"/>
  <c r="H176" i="3" s="1"/>
  <c r="W177" i="3"/>
  <c r="W176" i="3"/>
  <c r="L180" i="3"/>
  <c r="I180" i="3"/>
  <c r="J180" i="3"/>
  <c r="R175" i="3"/>
  <c r="D179" i="3"/>
  <c r="G77" i="3" l="1"/>
  <c r="F69" i="10" s="1"/>
  <c r="R76" i="3"/>
  <c r="B204" i="3"/>
  <c r="C204" i="3" s="1"/>
  <c r="M205" i="3"/>
  <c r="N205" i="3"/>
  <c r="A205" i="3"/>
  <c r="B205" i="3" s="1"/>
  <c r="C205" i="3" s="1"/>
  <c r="F203" i="3"/>
  <c r="E203" i="3" s="1"/>
  <c r="L181" i="3"/>
  <c r="I181" i="3"/>
  <c r="U178" i="3"/>
  <c r="V178" i="3" s="1"/>
  <c r="W178" i="3" s="1"/>
  <c r="S178" i="3"/>
  <c r="T178" i="3" s="1"/>
  <c r="S179" i="3"/>
  <c r="T179" i="3" s="1"/>
  <c r="U179" i="3"/>
  <c r="V179" i="3" s="1"/>
  <c r="D180" i="3"/>
  <c r="F77" i="3" l="1"/>
  <c r="E69" i="10" s="1"/>
  <c r="P206" i="3"/>
  <c r="Q206" i="3"/>
  <c r="N206" i="3"/>
  <c r="M206" i="3"/>
  <c r="A206" i="3"/>
  <c r="B206" i="3" s="1"/>
  <c r="C206" i="3" s="1"/>
  <c r="F204" i="3"/>
  <c r="E204" i="3" s="1"/>
  <c r="G179" i="3"/>
  <c r="H179" i="3" s="1"/>
  <c r="G178" i="3"/>
  <c r="H178" i="3" s="1"/>
  <c r="R176" i="3"/>
  <c r="W179" i="3"/>
  <c r="L182" i="3"/>
  <c r="I182" i="3"/>
  <c r="J182" i="3"/>
  <c r="R177" i="3"/>
  <c r="U180" i="3"/>
  <c r="V180" i="3" s="1"/>
  <c r="S180" i="3"/>
  <c r="T180" i="3" s="1"/>
  <c r="D181" i="3"/>
  <c r="E77" i="3" l="1"/>
  <c r="H77" i="3"/>
  <c r="D69" i="10" s="1"/>
  <c r="Q207" i="3"/>
  <c r="P207" i="3"/>
  <c r="N207" i="3"/>
  <c r="M207" i="3"/>
  <c r="A207" i="3"/>
  <c r="B207" i="3" s="1"/>
  <c r="C207" i="3" s="1"/>
  <c r="F205" i="3"/>
  <c r="E205" i="3" s="1"/>
  <c r="W180" i="3"/>
  <c r="G180" i="3" s="1"/>
  <c r="H180" i="3" s="1"/>
  <c r="J183" i="3"/>
  <c r="L183" i="3"/>
  <c r="I183" i="3"/>
  <c r="R178" i="3"/>
  <c r="S181" i="3"/>
  <c r="T181" i="3" s="1"/>
  <c r="G181" i="3" s="1"/>
  <c r="H181" i="3" s="1"/>
  <c r="U181" i="3"/>
  <c r="V181" i="3" s="1"/>
  <c r="D182" i="3"/>
  <c r="G78" i="3" l="1"/>
  <c r="F70" i="10" s="1"/>
  <c r="R77" i="3"/>
  <c r="P208" i="3"/>
  <c r="N208" i="3"/>
  <c r="M208" i="3"/>
  <c r="Q208" i="3"/>
  <c r="A208" i="3"/>
  <c r="B208" i="3" s="1"/>
  <c r="C208" i="3" s="1"/>
  <c r="F206" i="3"/>
  <c r="E206" i="3" s="1"/>
  <c r="K181" i="3"/>
  <c r="W181" i="3"/>
  <c r="L184" i="3"/>
  <c r="I184" i="3"/>
  <c r="J184" i="3"/>
  <c r="R179" i="3"/>
  <c r="D183" i="3"/>
  <c r="F78" i="3" l="1"/>
  <c r="E70" i="10" s="1"/>
  <c r="Q209" i="3"/>
  <c r="P209" i="3"/>
  <c r="M209" i="3"/>
  <c r="N209" i="3"/>
  <c r="A209" i="3"/>
  <c r="B209" i="3" s="1"/>
  <c r="C209" i="3" s="1"/>
  <c r="F207" i="3"/>
  <c r="E207" i="3" s="1"/>
  <c r="Y15" i="3"/>
  <c r="Z15" i="3" s="1"/>
  <c r="J185" i="3"/>
  <c r="L185" i="3"/>
  <c r="I185" i="3"/>
  <c r="R180" i="3"/>
  <c r="U182" i="3"/>
  <c r="V182" i="3" s="1"/>
  <c r="W182" i="3" s="1"/>
  <c r="S182" i="3"/>
  <c r="T182" i="3" s="1"/>
  <c r="D184" i="3"/>
  <c r="E78" i="3" l="1"/>
  <c r="H78" i="3"/>
  <c r="D70" i="10" s="1"/>
  <c r="P210" i="3"/>
  <c r="Q210" i="3"/>
  <c r="N210" i="3"/>
  <c r="M210" i="3"/>
  <c r="A210" i="3"/>
  <c r="B210" i="3" s="1"/>
  <c r="C210" i="3" s="1"/>
  <c r="F208" i="3"/>
  <c r="E208" i="3" s="1"/>
  <c r="G182" i="3"/>
  <c r="H182" i="3" s="1"/>
  <c r="L186" i="3"/>
  <c r="I186" i="3"/>
  <c r="J186" i="3"/>
  <c r="R181" i="3"/>
  <c r="S183" i="3"/>
  <c r="T183" i="3" s="1"/>
  <c r="U183" i="3"/>
  <c r="V183" i="3" s="1"/>
  <c r="W183" i="3" s="1"/>
  <c r="S184" i="3"/>
  <c r="T184" i="3" s="1"/>
  <c r="D185" i="3"/>
  <c r="G79" i="3" l="1"/>
  <c r="F71" i="10" s="1"/>
  <c r="R78" i="3"/>
  <c r="Q211" i="3"/>
  <c r="P211" i="3"/>
  <c r="N211" i="3"/>
  <c r="M211" i="3"/>
  <c r="A211" i="3"/>
  <c r="B211" i="3" s="1"/>
  <c r="C211" i="3" s="1"/>
  <c r="F209" i="3"/>
  <c r="E209" i="3" s="1"/>
  <c r="G183" i="3"/>
  <c r="H183" i="3" s="1"/>
  <c r="J187" i="3"/>
  <c r="L187" i="3"/>
  <c r="I187" i="3"/>
  <c r="R182" i="3"/>
  <c r="U184" i="3"/>
  <c r="V184" i="3" s="1"/>
  <c r="D186" i="3"/>
  <c r="F79" i="3" l="1"/>
  <c r="E71" i="10" s="1"/>
  <c r="P212" i="3"/>
  <c r="N212" i="3"/>
  <c r="M212" i="3"/>
  <c r="Q212" i="3"/>
  <c r="A212" i="3"/>
  <c r="B212" i="3" s="1"/>
  <c r="C212" i="3" s="1"/>
  <c r="F210" i="3"/>
  <c r="E210" i="3" s="1"/>
  <c r="G184" i="3"/>
  <c r="H184" i="3" s="1"/>
  <c r="W184" i="3"/>
  <c r="L188" i="3"/>
  <c r="I188" i="3"/>
  <c r="J188" i="3"/>
  <c r="S185" i="3"/>
  <c r="T185" i="3" s="1"/>
  <c r="U185" i="3"/>
  <c r="V185" i="3" s="1"/>
  <c r="D187" i="3"/>
  <c r="E79" i="3" l="1"/>
  <c r="H79" i="3"/>
  <c r="D71" i="10" s="1"/>
  <c r="Q213" i="3"/>
  <c r="M213" i="3"/>
  <c r="P213" i="3"/>
  <c r="N213" i="3"/>
  <c r="A213" i="3"/>
  <c r="B213" i="3" s="1"/>
  <c r="C213" i="3" s="1"/>
  <c r="F211" i="3"/>
  <c r="E211" i="3" s="1"/>
  <c r="G185" i="3"/>
  <c r="H185" i="3" s="1"/>
  <c r="W185" i="3"/>
  <c r="R183" i="3"/>
  <c r="J189" i="3"/>
  <c r="L189" i="3"/>
  <c r="I189" i="3"/>
  <c r="U186" i="3"/>
  <c r="V186" i="3" s="1"/>
  <c r="S186" i="3"/>
  <c r="T186" i="3" s="1"/>
  <c r="D188" i="3"/>
  <c r="G80" i="3" l="1"/>
  <c r="F72" i="10" s="1"/>
  <c r="R79" i="3"/>
  <c r="Q214" i="3"/>
  <c r="P214" i="3"/>
  <c r="N214" i="3"/>
  <c r="M214" i="3"/>
  <c r="A214" i="3"/>
  <c r="B214" i="3" s="1"/>
  <c r="C214" i="3" s="1"/>
  <c r="F212" i="3"/>
  <c r="E212" i="3" s="1"/>
  <c r="G186" i="3"/>
  <c r="H186" i="3" s="1"/>
  <c r="W186" i="3"/>
  <c r="L190" i="3"/>
  <c r="I190" i="3"/>
  <c r="J190" i="3"/>
  <c r="R184" i="3"/>
  <c r="U187" i="3"/>
  <c r="V187" i="3" s="1"/>
  <c r="S187" i="3"/>
  <c r="T187" i="3" s="1"/>
  <c r="D189" i="3"/>
  <c r="F80" i="3" l="1"/>
  <c r="E72" i="10" s="1"/>
  <c r="Q215" i="3"/>
  <c r="P215" i="3"/>
  <c r="N215" i="3"/>
  <c r="M215" i="3"/>
  <c r="A215" i="3"/>
  <c r="B215" i="3" s="1"/>
  <c r="C215" i="3" s="1"/>
  <c r="F213" i="3"/>
  <c r="E213" i="3" s="1"/>
  <c r="G187" i="3"/>
  <c r="H187" i="3" s="1"/>
  <c r="R185" i="3"/>
  <c r="R186" i="3"/>
  <c r="W187" i="3"/>
  <c r="J191" i="3"/>
  <c r="L191" i="3"/>
  <c r="I191" i="3"/>
  <c r="U188" i="3"/>
  <c r="V188" i="3" s="1"/>
  <c r="W188" i="3" s="1"/>
  <c r="U189" i="3"/>
  <c r="V189" i="3" s="1"/>
  <c r="S188" i="3"/>
  <c r="T188" i="3" s="1"/>
  <c r="D190" i="3"/>
  <c r="E80" i="3" l="1"/>
  <c r="H80" i="3"/>
  <c r="D72" i="10" s="1"/>
  <c r="P216" i="3"/>
  <c r="N216" i="3"/>
  <c r="M216" i="3"/>
  <c r="Q216" i="3"/>
  <c r="A216" i="3"/>
  <c r="F214" i="3"/>
  <c r="E214" i="3" s="1"/>
  <c r="G188" i="3"/>
  <c r="H188" i="3" s="1"/>
  <c r="L192" i="3"/>
  <c r="I192" i="3"/>
  <c r="J192" i="3"/>
  <c r="S189" i="3"/>
  <c r="T189" i="3" s="1"/>
  <c r="D191" i="3"/>
  <c r="G81" i="3" l="1"/>
  <c r="F73" i="10" s="1"/>
  <c r="R80" i="3"/>
  <c r="J217" i="3"/>
  <c r="B216" i="3"/>
  <c r="C216" i="3" s="1"/>
  <c r="Q217" i="3"/>
  <c r="M217" i="3"/>
  <c r="P217" i="3"/>
  <c r="N217" i="3"/>
  <c r="A217" i="3"/>
  <c r="B217" i="3" s="1"/>
  <c r="C217" i="3" s="1"/>
  <c r="F215" i="3"/>
  <c r="E215" i="3" s="1"/>
  <c r="G189" i="3"/>
  <c r="H189" i="3" s="1"/>
  <c r="W189" i="3"/>
  <c r="L193" i="3"/>
  <c r="I193" i="3"/>
  <c r="R187" i="3"/>
  <c r="U190" i="3"/>
  <c r="V190" i="3" s="1"/>
  <c r="W190" i="3" s="1"/>
  <c r="S190" i="3"/>
  <c r="T190" i="3" s="1"/>
  <c r="D192" i="3"/>
  <c r="F81" i="3" l="1"/>
  <c r="E73" i="10" s="1"/>
  <c r="Q218" i="3"/>
  <c r="P218" i="3"/>
  <c r="N218" i="3"/>
  <c r="M218" i="3"/>
  <c r="A218" i="3"/>
  <c r="B218" i="3" s="1"/>
  <c r="C218" i="3" s="1"/>
  <c r="F216" i="3"/>
  <c r="E216" i="3" s="1"/>
  <c r="G190" i="3"/>
  <c r="H190" i="3" s="1"/>
  <c r="R188" i="3"/>
  <c r="L194" i="3"/>
  <c r="I194" i="3"/>
  <c r="J194" i="3"/>
  <c r="U191" i="3"/>
  <c r="V191" i="3" s="1"/>
  <c r="W191" i="3" s="1"/>
  <c r="S191" i="3"/>
  <c r="T191" i="3" s="1"/>
  <c r="D193" i="3"/>
  <c r="E81" i="3" l="1"/>
  <c r="H81" i="3"/>
  <c r="D73" i="10" s="1"/>
  <c r="Q219" i="3"/>
  <c r="P219" i="3"/>
  <c r="N219" i="3"/>
  <c r="M219" i="3"/>
  <c r="A219" i="3"/>
  <c r="B219" i="3" s="1"/>
  <c r="C219" i="3" s="1"/>
  <c r="F217" i="3"/>
  <c r="E217" i="3" s="1"/>
  <c r="G191" i="3"/>
  <c r="H191" i="3" s="1"/>
  <c r="J195" i="3"/>
  <c r="L195" i="3"/>
  <c r="I195" i="3"/>
  <c r="R189" i="3"/>
  <c r="S192" i="3"/>
  <c r="T192" i="3" s="1"/>
  <c r="U192" i="3"/>
  <c r="V192" i="3" s="1"/>
  <c r="W192" i="3" s="1"/>
  <c r="D194" i="3"/>
  <c r="G82" i="3" l="1"/>
  <c r="F74" i="10" s="1"/>
  <c r="R81" i="3"/>
  <c r="P220" i="3"/>
  <c r="N220" i="3"/>
  <c r="M220" i="3"/>
  <c r="Q220" i="3"/>
  <c r="A220" i="3"/>
  <c r="B220" i="3" s="1"/>
  <c r="C220" i="3" s="1"/>
  <c r="F218" i="3"/>
  <c r="G192" i="3"/>
  <c r="H192" i="3" s="1"/>
  <c r="K193" i="3"/>
  <c r="R190" i="3"/>
  <c r="L196" i="3"/>
  <c r="I196" i="3"/>
  <c r="J196" i="3"/>
  <c r="U193" i="3"/>
  <c r="V193" i="3" s="1"/>
  <c r="W193" i="3" s="1"/>
  <c r="S193" i="3"/>
  <c r="T193" i="3" s="1"/>
  <c r="G193" i="3" s="1"/>
  <c r="H193" i="3" s="1"/>
  <c r="D195" i="3"/>
  <c r="F82" i="3" l="1"/>
  <c r="E74" i="10" s="1"/>
  <c r="E218" i="3"/>
  <c r="Q221" i="3"/>
  <c r="M221" i="3"/>
  <c r="P221" i="3"/>
  <c r="N221" i="3"/>
  <c r="A221" i="3"/>
  <c r="B221" i="3" s="1"/>
  <c r="C221" i="3" s="1"/>
  <c r="F219" i="3"/>
  <c r="Y16" i="3"/>
  <c r="Z16" i="3" s="1"/>
  <c r="R192" i="3"/>
  <c r="R191" i="3"/>
  <c r="J197" i="3"/>
  <c r="L197" i="3"/>
  <c r="I197" i="3"/>
  <c r="U194" i="3"/>
  <c r="V194" i="3" s="1"/>
  <c r="W194" i="3" s="1"/>
  <c r="S194" i="3"/>
  <c r="T194" i="3" s="1"/>
  <c r="D196" i="3"/>
  <c r="E82" i="3" l="1"/>
  <c r="H82" i="3"/>
  <c r="D74" i="10" s="1"/>
  <c r="E219" i="3"/>
  <c r="Q222" i="3"/>
  <c r="P222" i="3"/>
  <c r="N222" i="3"/>
  <c r="M222" i="3"/>
  <c r="A222" i="3"/>
  <c r="B222" i="3" s="1"/>
  <c r="C222" i="3" s="1"/>
  <c r="F220" i="3"/>
  <c r="E220" i="3" s="1"/>
  <c r="G194" i="3"/>
  <c r="H194" i="3" s="1"/>
  <c r="L198" i="3"/>
  <c r="I198" i="3"/>
  <c r="J198" i="3"/>
  <c r="U195" i="3"/>
  <c r="V195" i="3" s="1"/>
  <c r="W195" i="3" s="1"/>
  <c r="S195" i="3"/>
  <c r="T195" i="3" s="1"/>
  <c r="D197" i="3"/>
  <c r="G83" i="3" l="1"/>
  <c r="F75" i="10" s="1"/>
  <c r="R82" i="3"/>
  <c r="Q223" i="3"/>
  <c r="P223" i="3"/>
  <c r="N223" i="3"/>
  <c r="M223" i="3"/>
  <c r="A223" i="3"/>
  <c r="B223" i="3" s="1"/>
  <c r="C223" i="3" s="1"/>
  <c r="F221" i="3"/>
  <c r="E221" i="3" s="1"/>
  <c r="G195" i="3"/>
  <c r="H195" i="3" s="1"/>
  <c r="R193" i="3"/>
  <c r="J199" i="3"/>
  <c r="L199" i="3"/>
  <c r="I199" i="3"/>
  <c r="U196" i="3"/>
  <c r="V196" i="3" s="1"/>
  <c r="W196" i="3" s="1"/>
  <c r="S196" i="3"/>
  <c r="T196" i="3" s="1"/>
  <c r="D198" i="3"/>
  <c r="F83" i="3" l="1"/>
  <c r="E75" i="10" s="1"/>
  <c r="P224" i="3"/>
  <c r="N224" i="3"/>
  <c r="M224" i="3"/>
  <c r="Q224" i="3"/>
  <c r="A224" i="3"/>
  <c r="B224" i="3" s="1"/>
  <c r="C224" i="3" s="1"/>
  <c r="F222" i="3"/>
  <c r="E222" i="3" s="1"/>
  <c r="G196" i="3"/>
  <c r="H196" i="3" s="1"/>
  <c r="R194" i="3"/>
  <c r="L200" i="3"/>
  <c r="I200" i="3"/>
  <c r="J200" i="3"/>
  <c r="U197" i="3"/>
  <c r="V197" i="3" s="1"/>
  <c r="S197" i="3"/>
  <c r="T197" i="3" s="1"/>
  <c r="D199" i="3"/>
  <c r="H83" i="3" l="1"/>
  <c r="D75" i="10" s="1"/>
  <c r="E83" i="3"/>
  <c r="Q225" i="3"/>
  <c r="M225" i="3"/>
  <c r="P225" i="3"/>
  <c r="N225" i="3"/>
  <c r="A225" i="3"/>
  <c r="B225" i="3" s="1"/>
  <c r="C225" i="3" s="1"/>
  <c r="F223" i="3"/>
  <c r="E223" i="3" s="1"/>
  <c r="G197" i="3"/>
  <c r="H197" i="3" s="1"/>
  <c r="W197" i="3"/>
  <c r="R196" i="3"/>
  <c r="R195" i="3"/>
  <c r="J201" i="3"/>
  <c r="L201" i="3"/>
  <c r="I201" i="3"/>
  <c r="S198" i="3"/>
  <c r="T198" i="3" s="1"/>
  <c r="U198" i="3"/>
  <c r="V198" i="3" s="1"/>
  <c r="W198" i="3" s="1"/>
  <c r="S199" i="3"/>
  <c r="T199" i="3" s="1"/>
  <c r="G199" i="3" s="1"/>
  <c r="H199" i="3" s="1"/>
  <c r="U199" i="3"/>
  <c r="V199" i="3" s="1"/>
  <c r="D200" i="3"/>
  <c r="G84" i="3" l="1"/>
  <c r="R83" i="3"/>
  <c r="Q226" i="3"/>
  <c r="P226" i="3"/>
  <c r="N226" i="3"/>
  <c r="M226" i="3"/>
  <c r="A226" i="3"/>
  <c r="B226" i="3" s="1"/>
  <c r="C226" i="3" s="1"/>
  <c r="F224" i="3"/>
  <c r="E224" i="3" s="1"/>
  <c r="G198" i="3"/>
  <c r="H198" i="3" s="1"/>
  <c r="R197" i="3"/>
  <c r="W199" i="3"/>
  <c r="L202" i="3"/>
  <c r="I202" i="3"/>
  <c r="J202" i="3"/>
  <c r="U200" i="3"/>
  <c r="V200" i="3" s="1"/>
  <c r="S200" i="3"/>
  <c r="T200" i="3" s="1"/>
  <c r="D201" i="3"/>
  <c r="F76" i="10" l="1"/>
  <c r="F84" i="3"/>
  <c r="H84" i="3" s="1"/>
  <c r="D76" i="10" s="1"/>
  <c r="Q227" i="3"/>
  <c r="P227" i="3"/>
  <c r="N227" i="3"/>
  <c r="M227" i="3"/>
  <c r="A227" i="3"/>
  <c r="B227" i="3" s="1"/>
  <c r="C227" i="3" s="1"/>
  <c r="F225" i="3"/>
  <c r="E225" i="3" s="1"/>
  <c r="G200" i="3"/>
  <c r="H200" i="3" s="1"/>
  <c r="W200" i="3"/>
  <c r="J203" i="3"/>
  <c r="L203" i="3"/>
  <c r="I203" i="3"/>
  <c r="D202" i="3"/>
  <c r="E76" i="10" l="1"/>
  <c r="E84" i="3"/>
  <c r="P228" i="3"/>
  <c r="N228" i="3"/>
  <c r="M228" i="3"/>
  <c r="Q228" i="3"/>
  <c r="A228" i="3"/>
  <c r="F226" i="3"/>
  <c r="E226" i="3" s="1"/>
  <c r="R198" i="3"/>
  <c r="L204" i="3"/>
  <c r="I204" i="3"/>
  <c r="J204" i="3"/>
  <c r="R199" i="3"/>
  <c r="S201" i="3"/>
  <c r="T201" i="3" s="1"/>
  <c r="U201" i="3"/>
  <c r="V201" i="3" s="1"/>
  <c r="D203" i="3"/>
  <c r="K85" i="3" l="1"/>
  <c r="G85" i="3"/>
  <c r="J205" i="3"/>
  <c r="J229" i="3"/>
  <c r="B228" i="3"/>
  <c r="C228" i="3" s="1"/>
  <c r="Q229" i="3"/>
  <c r="M229" i="3"/>
  <c r="P229" i="3"/>
  <c r="N229" i="3"/>
  <c r="A229" i="3"/>
  <c r="B229" i="3" s="1"/>
  <c r="C229" i="3" s="1"/>
  <c r="F227" i="3"/>
  <c r="E227" i="3" s="1"/>
  <c r="G201" i="3"/>
  <c r="H201" i="3" s="1"/>
  <c r="W201" i="3"/>
  <c r="L205" i="3"/>
  <c r="I205" i="3"/>
  <c r="R200" i="3"/>
  <c r="S202" i="3"/>
  <c r="T202" i="3" s="1"/>
  <c r="S203" i="3"/>
  <c r="T203" i="3" s="1"/>
  <c r="U202" i="3"/>
  <c r="V202" i="3" s="1"/>
  <c r="W202" i="3" s="1"/>
  <c r="D204" i="3"/>
  <c r="Y7" i="3" l="1"/>
  <c r="Z7" i="3" s="1"/>
  <c r="O77" i="10"/>
  <c r="F85" i="3"/>
  <c r="F86" i="3" s="1"/>
  <c r="F77" i="10"/>
  <c r="Q230" i="3"/>
  <c r="P230" i="3"/>
  <c r="N230" i="3"/>
  <c r="M230" i="3"/>
  <c r="A230" i="3"/>
  <c r="B230" i="3" s="1"/>
  <c r="C230" i="3" s="1"/>
  <c r="F228" i="3"/>
  <c r="E228" i="3" s="1"/>
  <c r="G202" i="3"/>
  <c r="H202" i="3" s="1"/>
  <c r="L206" i="3"/>
  <c r="I206" i="3"/>
  <c r="J206" i="3"/>
  <c r="U203" i="3"/>
  <c r="V203" i="3" s="1"/>
  <c r="D205" i="3"/>
  <c r="F104" i="3" l="1"/>
  <c r="E77" i="10"/>
  <c r="E85" i="3"/>
  <c r="Q231" i="3"/>
  <c r="P231" i="3"/>
  <c r="N231" i="3"/>
  <c r="M231" i="3"/>
  <c r="A231" i="3"/>
  <c r="B231" i="3" s="1"/>
  <c r="C231" i="3" s="1"/>
  <c r="F229" i="3"/>
  <c r="E229" i="3" s="1"/>
  <c r="R202" i="3"/>
  <c r="W203" i="3"/>
  <c r="G203" i="3" s="1"/>
  <c r="H203" i="3" s="1"/>
  <c r="J207" i="3"/>
  <c r="L207" i="3"/>
  <c r="I207" i="3"/>
  <c r="R201" i="3"/>
  <c r="S204" i="3"/>
  <c r="T204" i="3" s="1"/>
  <c r="U205" i="3"/>
  <c r="V205" i="3" s="1"/>
  <c r="U204" i="3"/>
  <c r="V204" i="3" s="1"/>
  <c r="W204" i="3" s="1"/>
  <c r="D206" i="3"/>
  <c r="P86" i="3" l="1"/>
  <c r="E86" i="3"/>
  <c r="G86" i="3"/>
  <c r="F105" i="3"/>
  <c r="E105" i="3" s="1"/>
  <c r="P232" i="3"/>
  <c r="N232" i="3"/>
  <c r="M232" i="3"/>
  <c r="Q232" i="3"/>
  <c r="A232" i="3"/>
  <c r="B232" i="3" s="1"/>
  <c r="C232" i="3" s="1"/>
  <c r="F230" i="3"/>
  <c r="E230" i="3" s="1"/>
  <c r="G204" i="3"/>
  <c r="H204" i="3" s="1"/>
  <c r="P205" i="3" s="1"/>
  <c r="K205" i="3"/>
  <c r="L208" i="3"/>
  <c r="I208" i="3"/>
  <c r="J208" i="3"/>
  <c r="S205" i="3"/>
  <c r="T205" i="3" s="1"/>
  <c r="S206" i="3"/>
  <c r="T206" i="3" s="1"/>
  <c r="D207" i="3"/>
  <c r="H86" i="3" l="1"/>
  <c r="D78" i="10" s="1"/>
  <c r="Q86" i="3"/>
  <c r="E87" i="3"/>
  <c r="G87" i="3"/>
  <c r="H87" i="3" s="1"/>
  <c r="R87" i="3" s="1"/>
  <c r="Q233" i="3"/>
  <c r="M233" i="3"/>
  <c r="P233" i="3"/>
  <c r="N233" i="3"/>
  <c r="A233" i="3"/>
  <c r="B233" i="3" s="1"/>
  <c r="C233" i="3" s="1"/>
  <c r="F231" i="3"/>
  <c r="E231" i="3" s="1"/>
  <c r="G205" i="3"/>
  <c r="Y17" i="3"/>
  <c r="Z17" i="3" s="1"/>
  <c r="W205" i="3"/>
  <c r="R203" i="3"/>
  <c r="J209" i="3"/>
  <c r="L209" i="3"/>
  <c r="I209" i="3"/>
  <c r="U206" i="3"/>
  <c r="V206" i="3" s="1"/>
  <c r="D208" i="3"/>
  <c r="S207" i="3"/>
  <c r="T207" i="3" s="1"/>
  <c r="U207" i="3"/>
  <c r="V207" i="3" s="1"/>
  <c r="R86" i="3" l="1"/>
  <c r="E88" i="3"/>
  <c r="G88" i="3"/>
  <c r="H88" i="3" s="1"/>
  <c r="R88" i="3" s="1"/>
  <c r="H205" i="3"/>
  <c r="Q205" i="3"/>
  <c r="Q234" i="3"/>
  <c r="P234" i="3"/>
  <c r="N234" i="3"/>
  <c r="M234" i="3"/>
  <c r="G207" i="3"/>
  <c r="H207" i="3" s="1"/>
  <c r="A234" i="3"/>
  <c r="B234" i="3" s="1"/>
  <c r="C234" i="3" s="1"/>
  <c r="F232" i="3"/>
  <c r="E232" i="3" s="1"/>
  <c r="G206" i="3"/>
  <c r="H206" i="3" s="1"/>
  <c r="W207" i="3"/>
  <c r="W206" i="3"/>
  <c r="R204" i="3"/>
  <c r="L210" i="3"/>
  <c r="I210" i="3"/>
  <c r="J210" i="3"/>
  <c r="U208" i="3"/>
  <c r="V208" i="3" s="1"/>
  <c r="D209" i="3"/>
  <c r="E89" i="3" l="1"/>
  <c r="G89" i="3"/>
  <c r="H89" i="3" s="1"/>
  <c r="R89" i="3" s="1"/>
  <c r="Q235" i="3"/>
  <c r="P235" i="3"/>
  <c r="N235" i="3"/>
  <c r="M235" i="3"/>
  <c r="A235" i="3"/>
  <c r="B235" i="3" s="1"/>
  <c r="C235" i="3" s="1"/>
  <c r="F233" i="3"/>
  <c r="E233" i="3" s="1"/>
  <c r="R205" i="3"/>
  <c r="J211" i="3"/>
  <c r="L211" i="3"/>
  <c r="I211" i="3"/>
  <c r="S208" i="3"/>
  <c r="T208" i="3" s="1"/>
  <c r="S209" i="3"/>
  <c r="T209" i="3" s="1"/>
  <c r="D210" i="3"/>
  <c r="E90" i="3" l="1"/>
  <c r="G90" i="3"/>
  <c r="H90" i="3" s="1"/>
  <c r="R90" i="3" s="1"/>
  <c r="P236" i="3"/>
  <c r="N236" i="3"/>
  <c r="M236" i="3"/>
  <c r="Q236" i="3"/>
  <c r="A236" i="3"/>
  <c r="B236" i="3" s="1"/>
  <c r="C236" i="3" s="1"/>
  <c r="F234" i="3"/>
  <c r="E234" i="3" s="1"/>
  <c r="G208" i="3"/>
  <c r="H208" i="3" s="1"/>
  <c r="W208" i="3"/>
  <c r="L212" i="3"/>
  <c r="I212" i="3"/>
  <c r="J212" i="3"/>
  <c r="R207" i="3"/>
  <c r="R206" i="3"/>
  <c r="U209" i="3"/>
  <c r="V209" i="3" s="1"/>
  <c r="D211" i="3"/>
  <c r="S210" i="3"/>
  <c r="T210" i="3" s="1"/>
  <c r="U210" i="3"/>
  <c r="V210" i="3" s="1"/>
  <c r="E91" i="3" l="1"/>
  <c r="G91" i="3"/>
  <c r="H91" i="3" s="1"/>
  <c r="R91" i="3" s="1"/>
  <c r="Q237" i="3"/>
  <c r="M237" i="3"/>
  <c r="P237" i="3"/>
  <c r="N237" i="3"/>
  <c r="A237" i="3"/>
  <c r="B237" i="3" s="1"/>
  <c r="C237" i="3" s="1"/>
  <c r="F235" i="3"/>
  <c r="E235" i="3" s="1"/>
  <c r="G210" i="3"/>
  <c r="H210" i="3" s="1"/>
  <c r="G209" i="3"/>
  <c r="H209" i="3" s="1"/>
  <c r="W210" i="3"/>
  <c r="W209" i="3"/>
  <c r="J213" i="3"/>
  <c r="L213" i="3"/>
  <c r="I213" i="3"/>
  <c r="D212" i="3"/>
  <c r="E92" i="3" l="1"/>
  <c r="G92" i="3"/>
  <c r="H92" i="3" s="1"/>
  <c r="R92" i="3" s="1"/>
  <c r="Q238" i="3"/>
  <c r="P238" i="3"/>
  <c r="N238" i="3"/>
  <c r="M238" i="3"/>
  <c r="A238" i="3"/>
  <c r="B238" i="3" s="1"/>
  <c r="C238" i="3" s="1"/>
  <c r="F236" i="3"/>
  <c r="E236" i="3" s="1"/>
  <c r="L214" i="3"/>
  <c r="I214" i="3"/>
  <c r="J214" i="3"/>
  <c r="R208" i="3"/>
  <c r="U211" i="3"/>
  <c r="V211" i="3" s="1"/>
  <c r="W211" i="3" s="1"/>
  <c r="S211" i="3"/>
  <c r="T211" i="3" s="1"/>
  <c r="G211" i="3" s="1"/>
  <c r="H211" i="3" s="1"/>
  <c r="D213" i="3"/>
  <c r="E93" i="3" l="1"/>
  <c r="G93" i="3"/>
  <c r="H93" i="3" s="1"/>
  <c r="R93" i="3" s="1"/>
  <c r="Q239" i="3"/>
  <c r="P239" i="3"/>
  <c r="N239" i="3"/>
  <c r="M239" i="3"/>
  <c r="A239" i="3"/>
  <c r="B239" i="3" s="1"/>
  <c r="C239" i="3" s="1"/>
  <c r="F237" i="3"/>
  <c r="E237" i="3" s="1"/>
  <c r="U212" i="3"/>
  <c r="V212" i="3" s="1"/>
  <c r="W212" i="3" s="1"/>
  <c r="J215" i="3"/>
  <c r="L215" i="3"/>
  <c r="I215" i="3"/>
  <c r="R209" i="3"/>
  <c r="R210" i="3"/>
  <c r="S212" i="3"/>
  <c r="T212" i="3" s="1"/>
  <c r="G212" i="3" s="1"/>
  <c r="H212" i="3" s="1"/>
  <c r="U213" i="3"/>
  <c r="V213" i="3" s="1"/>
  <c r="D214" i="3"/>
  <c r="E94" i="3" l="1"/>
  <c r="G94" i="3"/>
  <c r="H94" i="3" s="1"/>
  <c r="R94" i="3" s="1"/>
  <c r="P240" i="3"/>
  <c r="N240" i="3"/>
  <c r="M240" i="3"/>
  <c r="Q240" i="3"/>
  <c r="A240" i="3"/>
  <c r="F238" i="3"/>
  <c r="E238" i="3" s="1"/>
  <c r="L216" i="3"/>
  <c r="I216" i="3"/>
  <c r="J216" i="3"/>
  <c r="S213" i="3"/>
  <c r="T213" i="3" s="1"/>
  <c r="U214" i="3"/>
  <c r="V214" i="3" s="1"/>
  <c r="D215" i="3"/>
  <c r="E95" i="3" l="1"/>
  <c r="G95" i="3"/>
  <c r="H95" i="3" s="1"/>
  <c r="R95" i="3" s="1"/>
  <c r="J241" i="3"/>
  <c r="B240" i="3"/>
  <c r="C240" i="3" s="1"/>
  <c r="Q241" i="3"/>
  <c r="M241" i="3"/>
  <c r="P241" i="3"/>
  <c r="N241" i="3"/>
  <c r="A241" i="3"/>
  <c r="B241" i="3" s="1"/>
  <c r="C241" i="3" s="1"/>
  <c r="F239" i="3"/>
  <c r="E239" i="3" s="1"/>
  <c r="G213" i="3"/>
  <c r="H213" i="3" s="1"/>
  <c r="W213" i="3"/>
  <c r="R211" i="3"/>
  <c r="L217" i="3"/>
  <c r="I217" i="3"/>
  <c r="S214" i="3"/>
  <c r="T214" i="3" s="1"/>
  <c r="S215" i="3"/>
  <c r="T215" i="3" s="1"/>
  <c r="D216" i="3"/>
  <c r="E96" i="3" l="1"/>
  <c r="G96" i="3"/>
  <c r="H96" i="3" s="1"/>
  <c r="Q242" i="3"/>
  <c r="P242" i="3"/>
  <c r="N242" i="3"/>
  <c r="M242" i="3"/>
  <c r="A242" i="3"/>
  <c r="B242" i="3" s="1"/>
  <c r="C242" i="3" s="1"/>
  <c r="F240" i="3"/>
  <c r="E240" i="3" s="1"/>
  <c r="G214" i="3"/>
  <c r="H214" i="3" s="1"/>
  <c r="R212" i="3"/>
  <c r="W214" i="3"/>
  <c r="L218" i="3"/>
  <c r="I218" i="3"/>
  <c r="J218" i="3"/>
  <c r="U215" i="3"/>
  <c r="V215" i="3" s="1"/>
  <c r="D217" i="3"/>
  <c r="P97" i="3" l="1"/>
  <c r="R96" i="3"/>
  <c r="E97" i="3"/>
  <c r="K97" i="3"/>
  <c r="Y8" i="3" s="1"/>
  <c r="Z8" i="3" s="1"/>
  <c r="G97" i="3"/>
  <c r="H97" i="3" s="1"/>
  <c r="Q243" i="3"/>
  <c r="P243" i="3"/>
  <c r="N243" i="3"/>
  <c r="M243" i="3"/>
  <c r="A243" i="3"/>
  <c r="B243" i="3" s="1"/>
  <c r="C243" i="3" s="1"/>
  <c r="F241" i="3"/>
  <c r="E241" i="3" s="1"/>
  <c r="W215" i="3"/>
  <c r="G215" i="3" s="1"/>
  <c r="H215" i="3" s="1"/>
  <c r="J219" i="3"/>
  <c r="L219" i="3"/>
  <c r="I219" i="3"/>
  <c r="R214" i="3"/>
  <c r="R213" i="3"/>
  <c r="S216" i="3"/>
  <c r="T216" i="3" s="1"/>
  <c r="U216" i="3"/>
  <c r="V216" i="3" s="1"/>
  <c r="W216" i="3" s="1"/>
  <c r="G216" i="3" s="1"/>
  <c r="H216" i="3" s="1"/>
  <c r="S217" i="3"/>
  <c r="T217" i="3" s="1"/>
  <c r="G217" i="3" s="1"/>
  <c r="H217" i="3" s="1"/>
  <c r="U217" i="3"/>
  <c r="V217" i="3" s="1"/>
  <c r="D218" i="3"/>
  <c r="R97" i="3" l="1"/>
  <c r="E98" i="3"/>
  <c r="G98" i="3"/>
  <c r="H98" i="3" s="1"/>
  <c r="R98" i="3" s="1"/>
  <c r="P244" i="3"/>
  <c r="N244" i="3"/>
  <c r="M244" i="3"/>
  <c r="Q244" i="3"/>
  <c r="A244" i="3"/>
  <c r="B244" i="3" s="1"/>
  <c r="C244" i="3" s="1"/>
  <c r="F242" i="3"/>
  <c r="E242" i="3" s="1"/>
  <c r="K217" i="3"/>
  <c r="Y18" i="3" s="1"/>
  <c r="Z18" i="3" s="1"/>
  <c r="W217" i="3"/>
  <c r="L220" i="3"/>
  <c r="I220" i="3"/>
  <c r="J220" i="3"/>
  <c r="D219" i="3"/>
  <c r="E99" i="3" l="1"/>
  <c r="G99" i="3"/>
  <c r="H99" i="3" s="1"/>
  <c r="R99" i="3" s="1"/>
  <c r="Q245" i="3"/>
  <c r="M245" i="3"/>
  <c r="P245" i="3"/>
  <c r="N245" i="3"/>
  <c r="A245" i="3"/>
  <c r="B245" i="3" s="1"/>
  <c r="C245" i="3" s="1"/>
  <c r="F243" i="3"/>
  <c r="E243" i="3" s="1"/>
  <c r="J221" i="3"/>
  <c r="L221" i="3"/>
  <c r="I221" i="3"/>
  <c r="R215" i="3"/>
  <c r="U218" i="3"/>
  <c r="V218" i="3" s="1"/>
  <c r="W218" i="3" s="1"/>
  <c r="S218" i="3"/>
  <c r="T218" i="3" s="1"/>
  <c r="G218" i="3" s="1"/>
  <c r="H218" i="3" s="1"/>
  <c r="D220" i="3"/>
  <c r="E100" i="3" l="1"/>
  <c r="G100" i="3"/>
  <c r="H100" i="3" s="1"/>
  <c r="R100" i="3" s="1"/>
  <c r="Q246" i="3"/>
  <c r="P246" i="3"/>
  <c r="N246" i="3"/>
  <c r="M246" i="3"/>
  <c r="A246" i="3"/>
  <c r="B246" i="3" s="1"/>
  <c r="C246" i="3" s="1"/>
  <c r="F244" i="3"/>
  <c r="E244" i="3" s="1"/>
  <c r="R216" i="3"/>
  <c r="L222" i="3"/>
  <c r="I222" i="3"/>
  <c r="J222" i="3"/>
  <c r="S219" i="3"/>
  <c r="T219" i="3" s="1"/>
  <c r="U219" i="3"/>
  <c r="V219" i="3" s="1"/>
  <c r="W219" i="3" s="1"/>
  <c r="S220" i="3"/>
  <c r="T220" i="3" s="1"/>
  <c r="D221" i="3"/>
  <c r="E101" i="3" l="1"/>
  <c r="G101" i="3"/>
  <c r="H101" i="3" s="1"/>
  <c r="R101" i="3" s="1"/>
  <c r="Q247" i="3"/>
  <c r="P247" i="3"/>
  <c r="N247" i="3"/>
  <c r="M247" i="3"/>
  <c r="A247" i="3"/>
  <c r="B247" i="3" s="1"/>
  <c r="C247" i="3" s="1"/>
  <c r="F245" i="3"/>
  <c r="E245" i="3" s="1"/>
  <c r="G219" i="3"/>
  <c r="H219" i="3" s="1"/>
  <c r="R217" i="3"/>
  <c r="J223" i="3"/>
  <c r="L223" i="3"/>
  <c r="I223" i="3"/>
  <c r="U220" i="3"/>
  <c r="V220" i="3" s="1"/>
  <c r="S221" i="3"/>
  <c r="T221" i="3" s="1"/>
  <c r="G221" i="3" s="1"/>
  <c r="H221" i="3" s="1"/>
  <c r="U221" i="3"/>
  <c r="V221" i="3" s="1"/>
  <c r="D222" i="3"/>
  <c r="E102" i="3" l="1"/>
  <c r="G102" i="3"/>
  <c r="H102" i="3" s="1"/>
  <c r="R102" i="3" s="1"/>
  <c r="P248" i="3"/>
  <c r="N248" i="3"/>
  <c r="M248" i="3"/>
  <c r="Q248" i="3"/>
  <c r="A248" i="3"/>
  <c r="B248" i="3" s="1"/>
  <c r="C248" i="3" s="1"/>
  <c r="F246" i="3"/>
  <c r="E246" i="3" s="1"/>
  <c r="G220" i="3"/>
  <c r="H220" i="3" s="1"/>
  <c r="W221" i="3"/>
  <c r="W220" i="3"/>
  <c r="R218" i="3"/>
  <c r="R219" i="3"/>
  <c r="L224" i="3"/>
  <c r="I224" i="3"/>
  <c r="J224" i="3"/>
  <c r="D223" i="3"/>
  <c r="E103" i="3" l="1"/>
  <c r="G103" i="3"/>
  <c r="H103" i="3" s="1"/>
  <c r="R103" i="3" s="1"/>
  <c r="Q249" i="3"/>
  <c r="M249" i="3"/>
  <c r="P249" i="3"/>
  <c r="N249" i="3"/>
  <c r="A249" i="3"/>
  <c r="B249" i="3" s="1"/>
  <c r="C249" i="3" s="1"/>
  <c r="F247" i="3"/>
  <c r="E247" i="3" s="1"/>
  <c r="J225" i="3"/>
  <c r="L225" i="3"/>
  <c r="I225" i="3"/>
  <c r="U222" i="3"/>
  <c r="V222" i="3" s="1"/>
  <c r="W222" i="3" s="1"/>
  <c r="S222" i="3"/>
  <c r="T222" i="3" s="1"/>
  <c r="G222" i="3" s="1"/>
  <c r="H222" i="3" s="1"/>
  <c r="D224" i="3"/>
  <c r="G104" i="3" l="1"/>
  <c r="E104" i="3"/>
  <c r="Q250" i="3"/>
  <c r="P250" i="3"/>
  <c r="N250" i="3"/>
  <c r="M250" i="3"/>
  <c r="A250" i="3"/>
  <c r="B250" i="3" s="1"/>
  <c r="C250" i="3" s="1"/>
  <c r="F248" i="3"/>
  <c r="E248" i="3" s="1"/>
  <c r="L226" i="3"/>
  <c r="I226" i="3"/>
  <c r="J226" i="3"/>
  <c r="R220" i="3"/>
  <c r="R221" i="3"/>
  <c r="S223" i="3"/>
  <c r="T223" i="3" s="1"/>
  <c r="U223" i="3"/>
  <c r="V223" i="3" s="1"/>
  <c r="W223" i="3" s="1"/>
  <c r="D225" i="3"/>
  <c r="S224" i="3"/>
  <c r="T224" i="3" s="1"/>
  <c r="U224" i="3"/>
  <c r="V224" i="3" s="1"/>
  <c r="H104" i="3" l="1"/>
  <c r="G105" i="3"/>
  <c r="Q251" i="3"/>
  <c r="P251" i="3"/>
  <c r="N251" i="3"/>
  <c r="M251" i="3"/>
  <c r="A251" i="3"/>
  <c r="B251" i="3" s="1"/>
  <c r="C251" i="3" s="1"/>
  <c r="F249" i="3"/>
  <c r="E249" i="3" s="1"/>
  <c r="G223" i="3"/>
  <c r="H223" i="3" s="1"/>
  <c r="G224" i="3"/>
  <c r="H224" i="3" s="1"/>
  <c r="W224" i="3"/>
  <c r="J227" i="3"/>
  <c r="L227" i="3"/>
  <c r="I227" i="3"/>
  <c r="R222" i="3"/>
  <c r="D226" i="3"/>
  <c r="H105" i="3" l="1"/>
  <c r="Q105" i="3"/>
  <c r="P105" i="3"/>
  <c r="R104" i="3"/>
  <c r="P252" i="3"/>
  <c r="N252" i="3"/>
  <c r="Q252" i="3"/>
  <c r="M252" i="3"/>
  <c r="A252" i="3"/>
  <c r="F250" i="3"/>
  <c r="E250" i="3" s="1"/>
  <c r="L228" i="3"/>
  <c r="I228" i="3"/>
  <c r="J228" i="3"/>
  <c r="U225" i="3"/>
  <c r="V225" i="3" s="1"/>
  <c r="S225" i="3"/>
  <c r="T225" i="3" s="1"/>
  <c r="D227" i="3"/>
  <c r="R105" i="3" l="1"/>
  <c r="J253" i="3"/>
  <c r="B252" i="3"/>
  <c r="C252" i="3" s="1"/>
  <c r="Q253" i="3"/>
  <c r="M253" i="3"/>
  <c r="P253" i="3"/>
  <c r="N253" i="3"/>
  <c r="A253" i="3"/>
  <c r="B253" i="3" s="1"/>
  <c r="C253" i="3" s="1"/>
  <c r="F251" i="3"/>
  <c r="E251" i="3" s="1"/>
  <c r="G225" i="3"/>
  <c r="H225" i="3" s="1"/>
  <c r="W225" i="3"/>
  <c r="L229" i="3"/>
  <c r="I229" i="3"/>
  <c r="R224" i="3"/>
  <c r="R223" i="3"/>
  <c r="S226" i="3"/>
  <c r="T226" i="3" s="1"/>
  <c r="G226" i="3" s="1"/>
  <c r="H226" i="3" s="1"/>
  <c r="U226" i="3"/>
  <c r="V226" i="3" s="1"/>
  <c r="W226" i="3" s="1"/>
  <c r="D228" i="3"/>
  <c r="Q254" i="3" l="1"/>
  <c r="P254" i="3"/>
  <c r="N254" i="3"/>
  <c r="M254" i="3"/>
  <c r="A254" i="3"/>
  <c r="B254" i="3" s="1"/>
  <c r="C254" i="3" s="1"/>
  <c r="F252" i="3"/>
  <c r="E252" i="3" s="1"/>
  <c r="L230" i="3"/>
  <c r="I230" i="3"/>
  <c r="J230" i="3"/>
  <c r="U227" i="3"/>
  <c r="V227" i="3" s="1"/>
  <c r="W227" i="3" s="1"/>
  <c r="S227" i="3"/>
  <c r="T227" i="3" s="1"/>
  <c r="D229" i="3"/>
  <c r="Q255" i="3" l="1"/>
  <c r="P255" i="3"/>
  <c r="N255" i="3"/>
  <c r="M255" i="3"/>
  <c r="A255" i="3"/>
  <c r="B255" i="3" s="1"/>
  <c r="C255" i="3" s="1"/>
  <c r="F253" i="3"/>
  <c r="E253" i="3" s="1"/>
  <c r="G227" i="3"/>
  <c r="H227" i="3" s="1"/>
  <c r="R225" i="3"/>
  <c r="J231" i="3"/>
  <c r="L231" i="3"/>
  <c r="I231" i="3"/>
  <c r="S228" i="3"/>
  <c r="T228" i="3" s="1"/>
  <c r="U228" i="3"/>
  <c r="V228" i="3" s="1"/>
  <c r="W228" i="3" s="1"/>
  <c r="D230" i="3"/>
  <c r="P256" i="3" l="1"/>
  <c r="N256" i="3"/>
  <c r="Q256" i="3"/>
  <c r="M256" i="3"/>
  <c r="G228" i="3"/>
  <c r="H228" i="3" s="1"/>
  <c r="A256" i="3"/>
  <c r="B256" i="3" s="1"/>
  <c r="C256" i="3" s="1"/>
  <c r="F254" i="3"/>
  <c r="E254" i="3" s="1"/>
  <c r="K229" i="3"/>
  <c r="Y19" i="3" s="1"/>
  <c r="Z19" i="3" s="1"/>
  <c r="R226" i="3"/>
  <c r="L232" i="3"/>
  <c r="I232" i="3"/>
  <c r="J232" i="3"/>
  <c r="U229" i="3"/>
  <c r="V229" i="3" s="1"/>
  <c r="W229" i="3" s="1"/>
  <c r="S229" i="3"/>
  <c r="T229" i="3" s="1"/>
  <c r="G229" i="3" s="1"/>
  <c r="H229" i="3" s="1"/>
  <c r="D231" i="3"/>
  <c r="Q257" i="3" l="1"/>
  <c r="M257" i="3"/>
  <c r="P257" i="3"/>
  <c r="N257" i="3"/>
  <c r="A257" i="3"/>
  <c r="B257" i="3" s="1"/>
  <c r="C257" i="3" s="1"/>
  <c r="F255" i="3"/>
  <c r="E255" i="3" s="1"/>
  <c r="R227" i="3"/>
  <c r="R228" i="3"/>
  <c r="J233" i="3"/>
  <c r="L233" i="3"/>
  <c r="I233" i="3"/>
  <c r="U230" i="3"/>
  <c r="V230" i="3" s="1"/>
  <c r="W230" i="3" s="1"/>
  <c r="S230" i="3"/>
  <c r="T230" i="3" s="1"/>
  <c r="S231" i="3"/>
  <c r="T231" i="3" s="1"/>
  <c r="U231" i="3"/>
  <c r="V231" i="3" s="1"/>
  <c r="D232" i="3"/>
  <c r="G231" i="3" l="1"/>
  <c r="H231" i="3" s="1"/>
  <c r="Q258" i="3"/>
  <c r="P258" i="3"/>
  <c r="N258" i="3"/>
  <c r="M258" i="3"/>
  <c r="A258" i="3"/>
  <c r="B258" i="3" s="1"/>
  <c r="C258" i="3" s="1"/>
  <c r="F256" i="3"/>
  <c r="E256" i="3" s="1"/>
  <c r="G230" i="3"/>
  <c r="H230" i="3" s="1"/>
  <c r="W231" i="3"/>
  <c r="L234" i="3"/>
  <c r="I234" i="3"/>
  <c r="J234" i="3"/>
  <c r="R229" i="3"/>
  <c r="S232" i="3"/>
  <c r="T232" i="3" s="1"/>
  <c r="U232" i="3"/>
  <c r="V232" i="3" s="1"/>
  <c r="D233" i="3"/>
  <c r="Q259" i="3" l="1"/>
  <c r="P259" i="3"/>
  <c r="N259" i="3"/>
  <c r="M259" i="3"/>
  <c r="A259" i="3"/>
  <c r="B259" i="3" s="1"/>
  <c r="C259" i="3" s="1"/>
  <c r="F257" i="3"/>
  <c r="E257" i="3" s="1"/>
  <c r="G232" i="3"/>
  <c r="H232" i="3" s="1"/>
  <c r="W232" i="3"/>
  <c r="J235" i="3"/>
  <c r="L235" i="3"/>
  <c r="I235" i="3"/>
  <c r="D234" i="3"/>
  <c r="P260" i="3" l="1"/>
  <c r="N260" i="3"/>
  <c r="Q260" i="3"/>
  <c r="M260" i="3"/>
  <c r="A260" i="3"/>
  <c r="B260" i="3" s="1"/>
  <c r="C260" i="3" s="1"/>
  <c r="F258" i="3"/>
  <c r="E258" i="3" s="1"/>
  <c r="R230" i="3"/>
  <c r="L236" i="3"/>
  <c r="I236" i="3"/>
  <c r="J236" i="3"/>
  <c r="R231" i="3"/>
  <c r="U233" i="3"/>
  <c r="V233" i="3" s="1"/>
  <c r="W233" i="3" s="1"/>
  <c r="S233" i="3"/>
  <c r="T233" i="3" s="1"/>
  <c r="D235" i="3"/>
  <c r="Q261" i="3" l="1"/>
  <c r="M261" i="3"/>
  <c r="P261" i="3"/>
  <c r="N261" i="3"/>
  <c r="A261" i="3"/>
  <c r="F259" i="3"/>
  <c r="E259" i="3" s="1"/>
  <c r="G233" i="3"/>
  <c r="H233" i="3" s="1"/>
  <c r="J237" i="3"/>
  <c r="L237" i="3"/>
  <c r="I237" i="3"/>
  <c r="R232" i="3"/>
  <c r="U234" i="3"/>
  <c r="V234" i="3" s="1"/>
  <c r="W234" i="3" s="1"/>
  <c r="S234" i="3"/>
  <c r="T234" i="3" s="1"/>
  <c r="G234" i="3" s="1"/>
  <c r="H234" i="3" s="1"/>
  <c r="D236" i="3"/>
  <c r="B261" i="3" l="1"/>
  <c r="C261" i="3" s="1"/>
  <c r="A262" i="3"/>
  <c r="A263" i="3" s="1"/>
  <c r="A264" i="3" s="1"/>
  <c r="A265" i="3" s="1"/>
  <c r="A266" i="3" s="1"/>
  <c r="Q262" i="3"/>
  <c r="P262" i="3"/>
  <c r="N262" i="3"/>
  <c r="M262" i="3"/>
  <c r="F260" i="3"/>
  <c r="E260" i="3" s="1"/>
  <c r="L238" i="3"/>
  <c r="I238" i="3"/>
  <c r="J238" i="3"/>
  <c r="U235" i="3"/>
  <c r="V235" i="3" s="1"/>
  <c r="W235" i="3" s="1"/>
  <c r="S235" i="3"/>
  <c r="T235" i="3" s="1"/>
  <c r="D237" i="3"/>
  <c r="B262" i="3" l="1"/>
  <c r="C262" i="3" s="1"/>
  <c r="Q263" i="3"/>
  <c r="P263" i="3"/>
  <c r="N263" i="3"/>
  <c r="M263" i="3"/>
  <c r="B263" i="3"/>
  <c r="C263" i="3" s="1"/>
  <c r="F261" i="3"/>
  <c r="E261" i="3" s="1"/>
  <c r="G235" i="3"/>
  <c r="H235" i="3" s="1"/>
  <c r="R233" i="3"/>
  <c r="J239" i="3"/>
  <c r="L239" i="3"/>
  <c r="I239" i="3"/>
  <c r="U236" i="3"/>
  <c r="V236" i="3" s="1"/>
  <c r="W236" i="3" s="1"/>
  <c r="S236" i="3"/>
  <c r="T236" i="3" s="1"/>
  <c r="U237" i="3"/>
  <c r="V237" i="3" s="1"/>
  <c r="D238" i="3"/>
  <c r="P264" i="3" l="1"/>
  <c r="N264" i="3"/>
  <c r="Q264" i="3"/>
  <c r="M264" i="3"/>
  <c r="B264" i="3"/>
  <c r="C264" i="3" s="1"/>
  <c r="F262" i="3"/>
  <c r="E262" i="3" s="1"/>
  <c r="G236" i="3"/>
  <c r="H236" i="3" s="1"/>
  <c r="R234" i="3"/>
  <c r="L240" i="3"/>
  <c r="I240" i="3"/>
  <c r="J240" i="3"/>
  <c r="S237" i="3"/>
  <c r="T237" i="3" s="1"/>
  <c r="D239" i="3"/>
  <c r="F263" i="3" l="1"/>
  <c r="E263" i="3" s="1"/>
  <c r="M265" i="3"/>
  <c r="N265" i="3"/>
  <c r="G237" i="3"/>
  <c r="H237" i="3" s="1"/>
  <c r="W237" i="3"/>
  <c r="L241" i="3"/>
  <c r="I241" i="3"/>
  <c r="R235" i="3"/>
  <c r="U238" i="3"/>
  <c r="V238" i="3" s="1"/>
  <c r="W238" i="3" s="1"/>
  <c r="S238" i="3"/>
  <c r="T238" i="3" s="1"/>
  <c r="G238" i="3" s="1"/>
  <c r="H238" i="3" s="1"/>
  <c r="D240" i="3"/>
  <c r="R236" i="3" l="1"/>
  <c r="L242" i="3"/>
  <c r="I242" i="3"/>
  <c r="J242" i="3"/>
  <c r="U239" i="3"/>
  <c r="V239" i="3" s="1"/>
  <c r="S239" i="3"/>
  <c r="T239" i="3" s="1"/>
  <c r="D241" i="3"/>
  <c r="G239" i="3" l="1"/>
  <c r="H239" i="3" s="1"/>
  <c r="W239" i="3"/>
  <c r="J243" i="3"/>
  <c r="L243" i="3"/>
  <c r="I243" i="3"/>
  <c r="R237" i="3"/>
  <c r="S240" i="3"/>
  <c r="T240" i="3" s="1"/>
  <c r="U240" i="3"/>
  <c r="V240" i="3" s="1"/>
  <c r="U241" i="3"/>
  <c r="V241" i="3" s="1"/>
  <c r="D242" i="3"/>
  <c r="G240" i="3" l="1"/>
  <c r="H240" i="3" s="1"/>
  <c r="K241" i="3"/>
  <c r="R238" i="3"/>
  <c r="W240" i="3"/>
  <c r="L244" i="3"/>
  <c r="I244" i="3"/>
  <c r="J244" i="3"/>
  <c r="S241" i="3"/>
  <c r="T241" i="3" s="1"/>
  <c r="S242" i="3"/>
  <c r="T242" i="3" s="1"/>
  <c r="G242" i="3" s="1"/>
  <c r="H242" i="3" s="1"/>
  <c r="U242" i="3"/>
  <c r="V242" i="3" s="1"/>
  <c r="D243" i="3"/>
  <c r="G241" i="3" l="1"/>
  <c r="H241" i="3" s="1"/>
  <c r="Y20" i="3"/>
  <c r="Z20" i="3" s="1"/>
  <c r="W241" i="3"/>
  <c r="W242" i="3"/>
  <c r="J245" i="3"/>
  <c r="L245" i="3"/>
  <c r="I245" i="3"/>
  <c r="R239" i="3"/>
  <c r="D244" i="3"/>
  <c r="L246" i="3" l="1"/>
  <c r="I246" i="3"/>
  <c r="J246" i="3"/>
  <c r="U243" i="3"/>
  <c r="V243" i="3" s="1"/>
  <c r="W243" i="3" s="1"/>
  <c r="R240" i="3"/>
  <c r="S243" i="3"/>
  <c r="T243" i="3" s="1"/>
  <c r="D245" i="3"/>
  <c r="S244" i="3"/>
  <c r="T244" i="3" s="1"/>
  <c r="U244" i="3"/>
  <c r="V244" i="3" s="1"/>
  <c r="G244" i="3" l="1"/>
  <c r="H244" i="3" s="1"/>
  <c r="G243" i="3"/>
  <c r="H243" i="3" s="1"/>
  <c r="W244" i="3"/>
  <c r="J247" i="3"/>
  <c r="L247" i="3"/>
  <c r="I247" i="3"/>
  <c r="R241" i="3"/>
  <c r="R242" i="3"/>
  <c r="D246" i="3"/>
  <c r="U245" i="3"/>
  <c r="V245" i="3" s="1"/>
  <c r="S245" i="3"/>
  <c r="T245" i="3" s="1"/>
  <c r="G245" i="3" l="1"/>
  <c r="H245" i="3" s="1"/>
  <c r="W245" i="3"/>
  <c r="L248" i="3"/>
  <c r="I248" i="3"/>
  <c r="J248" i="3"/>
  <c r="U246" i="3"/>
  <c r="V246" i="3" s="1"/>
  <c r="D247" i="3"/>
  <c r="R243" i="3" l="1"/>
  <c r="J249" i="3"/>
  <c r="L249" i="3"/>
  <c r="I249" i="3"/>
  <c r="R244" i="3"/>
  <c r="S246" i="3"/>
  <c r="T246" i="3" s="1"/>
  <c r="U247" i="3"/>
  <c r="V247" i="3" s="1"/>
  <c r="D248" i="3"/>
  <c r="G246" i="3" l="1"/>
  <c r="H246" i="3" s="1"/>
  <c r="W246" i="3"/>
  <c r="L250" i="3"/>
  <c r="I250" i="3"/>
  <c r="J250" i="3"/>
  <c r="R245" i="3"/>
  <c r="S247" i="3"/>
  <c r="T247" i="3" s="1"/>
  <c r="U248" i="3"/>
  <c r="V248" i="3" s="1"/>
  <c r="D249" i="3"/>
  <c r="G247" i="3" l="1"/>
  <c r="H247" i="3" s="1"/>
  <c r="W247" i="3"/>
  <c r="J251" i="3"/>
  <c r="L251" i="3"/>
  <c r="I251" i="3"/>
  <c r="S248" i="3"/>
  <c r="T248" i="3" s="1"/>
  <c r="D250" i="3"/>
  <c r="G248" i="3" l="1"/>
  <c r="H248" i="3" s="1"/>
  <c r="R246" i="3"/>
  <c r="W248" i="3"/>
  <c r="L252" i="3"/>
  <c r="I252" i="3"/>
  <c r="J252" i="3"/>
  <c r="U249" i="3"/>
  <c r="V249" i="3" s="1"/>
  <c r="W249" i="3" s="1"/>
  <c r="U250" i="3"/>
  <c r="V250" i="3" s="1"/>
  <c r="S249" i="3"/>
  <c r="T249" i="3" s="1"/>
  <c r="G249" i="3" s="1"/>
  <c r="H249" i="3" s="1"/>
  <c r="D251" i="3"/>
  <c r="L253" i="3" l="1"/>
  <c r="I253" i="3"/>
  <c r="R247" i="3"/>
  <c r="R248" i="3"/>
  <c r="S250" i="3"/>
  <c r="T250" i="3" s="1"/>
  <c r="D252" i="3"/>
  <c r="U251" i="3"/>
  <c r="V251" i="3" s="1"/>
  <c r="S251" i="3"/>
  <c r="T251" i="3" s="1"/>
  <c r="G250" i="3" l="1"/>
  <c r="H250" i="3" s="1"/>
  <c r="R249" i="3"/>
  <c r="W251" i="3"/>
  <c r="G251" i="3" s="1"/>
  <c r="H251" i="3" s="1"/>
  <c r="W250" i="3"/>
  <c r="K254" i="3"/>
  <c r="I254" i="3"/>
  <c r="L254" i="3"/>
  <c r="J254" i="3"/>
  <c r="D253" i="3"/>
  <c r="K255" i="3" l="1"/>
  <c r="I255" i="3"/>
  <c r="L255" i="3"/>
  <c r="J255" i="3"/>
  <c r="S252" i="3"/>
  <c r="T252" i="3" s="1"/>
  <c r="U252" i="3"/>
  <c r="V252" i="3" s="1"/>
  <c r="U253" i="3"/>
  <c r="V253" i="3" s="1"/>
  <c r="D254" i="3"/>
  <c r="G252" i="3" l="1"/>
  <c r="H252" i="3" s="1"/>
  <c r="K253" i="3"/>
  <c r="W252" i="3"/>
  <c r="K256" i="3"/>
  <c r="I256" i="3"/>
  <c r="L256" i="3"/>
  <c r="J256" i="3"/>
  <c r="R251" i="3"/>
  <c r="R250" i="3"/>
  <c r="U254" i="3"/>
  <c r="V254" i="3" s="1"/>
  <c r="S253" i="3"/>
  <c r="T253" i="3" s="1"/>
  <c r="S254" i="3"/>
  <c r="T254" i="3" s="1"/>
  <c r="D255" i="3"/>
  <c r="G253" i="3" l="1"/>
  <c r="H253" i="3" s="1"/>
  <c r="Y21" i="3"/>
  <c r="Y22" i="3" s="1"/>
  <c r="W253" i="3"/>
  <c r="K257" i="3"/>
  <c r="I257" i="3"/>
  <c r="L257" i="3"/>
  <c r="J257" i="3"/>
  <c r="U255" i="3"/>
  <c r="V255" i="3" s="1"/>
  <c r="D256" i="3"/>
  <c r="G254" i="3" l="1"/>
  <c r="H254" i="3" s="1"/>
  <c r="Z21" i="3"/>
  <c r="Z22" i="3" s="1"/>
  <c r="D52" i="1"/>
  <c r="W254" i="3"/>
  <c r="K258" i="3"/>
  <c r="I258" i="3"/>
  <c r="L258" i="3"/>
  <c r="J258" i="3"/>
  <c r="R252" i="3"/>
  <c r="S255" i="3"/>
  <c r="T255" i="3" s="1"/>
  <c r="U256" i="3"/>
  <c r="V256" i="3" s="1"/>
  <c r="D257" i="3"/>
  <c r="E52" i="1" l="1"/>
  <c r="B52" i="1"/>
  <c r="G255" i="3"/>
  <c r="H255" i="3" s="1"/>
  <c r="W255" i="3"/>
  <c r="K259" i="3"/>
  <c r="I259" i="3"/>
  <c r="L259" i="3"/>
  <c r="J259" i="3"/>
  <c r="R253" i="3"/>
  <c r="S256" i="3"/>
  <c r="T256" i="3" s="1"/>
  <c r="S257" i="3"/>
  <c r="T257" i="3" s="1"/>
  <c r="U257" i="3"/>
  <c r="V257" i="3" s="1"/>
  <c r="D258" i="3"/>
  <c r="G257" i="3" l="1"/>
  <c r="H257" i="3" s="1"/>
  <c r="G256" i="3"/>
  <c r="H256" i="3" s="1"/>
  <c r="W256" i="3"/>
  <c r="W257" i="3"/>
  <c r="K260" i="3"/>
  <c r="I260" i="3"/>
  <c r="L260" i="3"/>
  <c r="J260" i="3"/>
  <c r="R254" i="3"/>
  <c r="U258" i="3"/>
  <c r="V258" i="3" s="1"/>
  <c r="S258" i="3"/>
  <c r="T258" i="3" s="1"/>
  <c r="D259" i="3"/>
  <c r="G258" i="3" l="1"/>
  <c r="H258" i="3" s="1"/>
  <c r="W258" i="3"/>
  <c r="K261" i="3"/>
  <c r="I261" i="3"/>
  <c r="L261" i="3"/>
  <c r="J261" i="3"/>
  <c r="R255" i="3"/>
  <c r="S259" i="3"/>
  <c r="T259" i="3" s="1"/>
  <c r="G259" i="3" s="1"/>
  <c r="H259" i="3" s="1"/>
  <c r="U259" i="3"/>
  <c r="V259" i="3" s="1"/>
  <c r="D260" i="3"/>
  <c r="W259" i="3" l="1"/>
  <c r="K262" i="3"/>
  <c r="I262" i="3"/>
  <c r="L262" i="3"/>
  <c r="J262" i="3"/>
  <c r="R257" i="3"/>
  <c r="R256" i="3"/>
  <c r="D261" i="3"/>
  <c r="K263" i="3" l="1"/>
  <c r="I263" i="3"/>
  <c r="L263" i="3"/>
  <c r="J263" i="3"/>
  <c r="R258" i="3"/>
  <c r="S260" i="3"/>
  <c r="T260" i="3" s="1"/>
  <c r="G260" i="3" s="1"/>
  <c r="H260" i="3" s="1"/>
  <c r="U260" i="3"/>
  <c r="V260" i="3" s="1"/>
  <c r="W260" i="3" s="1"/>
  <c r="D262" i="3"/>
  <c r="K264" i="3" l="1"/>
  <c r="I264" i="3"/>
  <c r="L264" i="3"/>
  <c r="J264" i="3"/>
  <c r="R259" i="3"/>
  <c r="U261" i="3"/>
  <c r="V261" i="3" s="1"/>
  <c r="W261" i="3" s="1"/>
  <c r="S261" i="3"/>
  <c r="T261" i="3" s="1"/>
  <c r="G261" i="3" s="1"/>
  <c r="H261" i="3" s="1"/>
  <c r="S262" i="3"/>
  <c r="T262" i="3" s="1"/>
  <c r="G262" i="3" s="1"/>
  <c r="H262" i="3" s="1"/>
  <c r="U262" i="3"/>
  <c r="V262" i="3" s="1"/>
  <c r="K265" i="3"/>
  <c r="D263" i="3"/>
  <c r="J265" i="3" l="1"/>
  <c r="W262" i="3"/>
  <c r="L265" i="3"/>
  <c r="I265" i="3"/>
  <c r="R260" i="3"/>
  <c r="D264" i="3"/>
  <c r="F264" i="3" l="1"/>
  <c r="E264" i="3" s="1"/>
  <c r="S263" i="3"/>
  <c r="T263" i="3" s="1"/>
  <c r="U263" i="3"/>
  <c r="V263" i="3" s="1"/>
  <c r="W263" i="3" s="1"/>
  <c r="U264" i="3"/>
  <c r="V264" i="3" s="1"/>
  <c r="S264" i="3"/>
  <c r="T264" i="3" s="1"/>
  <c r="F265" i="3" l="1"/>
  <c r="G264" i="3"/>
  <c r="H264" i="3" s="1"/>
  <c r="G263" i="3"/>
  <c r="H263" i="3" s="1"/>
  <c r="R261" i="3"/>
  <c r="W264" i="3"/>
  <c r="R262" i="3"/>
  <c r="E265" i="3" l="1"/>
  <c r="H265" i="3"/>
  <c r="G265" i="3"/>
  <c r="Q265" i="3" s="1"/>
  <c r="R264" i="3" l="1"/>
  <c r="R263" i="3"/>
  <c r="P265" i="3" l="1"/>
  <c r="R30" i="3" l="1"/>
  <c r="R31" i="3"/>
  <c r="R32" i="3" l="1"/>
  <c r="R33" i="3" l="1"/>
  <c r="R34" i="3"/>
  <c r="R35" i="3" l="1"/>
  <c r="Q36" i="3"/>
  <c r="R28" i="10" l="1"/>
  <c r="R36" i="3" l="1"/>
  <c r="R84" i="3"/>
  <c r="D50" i="1"/>
  <c r="P7" i="3"/>
  <c r="E50" i="1" l="1"/>
  <c r="B50" i="1"/>
  <c r="I24" i="3"/>
  <c r="I37" i="3" s="1"/>
  <c r="H24" i="3" l="1"/>
  <c r="I85" i="3"/>
  <c r="M77" i="10" s="1"/>
  <c r="M29" i="10"/>
  <c r="M16" i="10"/>
  <c r="I49" i="3"/>
  <c r="P49" i="3"/>
  <c r="R24" i="3" l="1"/>
  <c r="D16" i="10"/>
  <c r="M41" i="10"/>
  <c r="Q49" i="3"/>
  <c r="R49" i="3" s="1"/>
  <c r="Q41" i="10"/>
  <c r="R41" i="10" l="1"/>
  <c r="O25" i="3" l="1"/>
  <c r="L29" i="3"/>
  <c r="R29" i="3" s="1"/>
  <c r="H25" i="3" l="1"/>
  <c r="R25" i="3" s="1"/>
  <c r="P37" i="3"/>
  <c r="O61" i="3"/>
  <c r="G53" i="10" s="1"/>
  <c r="O37" i="3"/>
  <c r="O85" i="3" s="1"/>
  <c r="G17" i="10"/>
  <c r="Q61" i="3" l="1"/>
  <c r="D17" i="10"/>
  <c r="G77" i="10"/>
  <c r="Q85" i="3"/>
  <c r="R77" i="10" s="1"/>
  <c r="H37" i="3"/>
  <c r="H61" i="3" s="1"/>
  <c r="D53" i="10" s="1"/>
  <c r="Q29" i="10"/>
  <c r="G29" i="10"/>
  <c r="Q37" i="3"/>
  <c r="R29" i="10" s="1"/>
  <c r="R53" i="10"/>
  <c r="D29" i="10" l="1"/>
  <c r="P61" i="3"/>
  <c r="Q53" i="10" s="1"/>
  <c r="P85" i="3"/>
  <c r="Q77" i="10" s="1"/>
  <c r="H85" i="3"/>
  <c r="B44" i="1"/>
  <c r="B43" i="1" s="1"/>
  <c r="R37" i="3"/>
  <c r="R61" i="3" l="1"/>
  <c r="B45" i="1"/>
  <c r="D77" i="10"/>
  <c r="R8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Safonov Sergii Viktorovych</author>
  </authors>
  <commentList>
    <comment ref="N14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04"/>
          </rPr>
          <t>У разі наявності пакету "Фамільний" або якщо він не оформлюється ставиться -0, в нішому випадку  зазначається вартість пакету на один рік</t>
        </r>
      </text>
    </comment>
  </commentList>
</comments>
</file>

<file path=xl/sharedStrings.xml><?xml version="1.0" encoding="utf-8"?>
<sst xmlns="http://schemas.openxmlformats.org/spreadsheetml/2006/main" count="242" uniqueCount="155">
  <si>
    <t>Найменування кредитодавця та його структурного або відокремленого підрозділу, в якому поширюється інформація</t>
  </si>
  <si>
    <t>Місцезнаходження кредитодавця та адреса структурного або відокремленого підрозділу, в якому поширюється інформація</t>
  </si>
  <si>
    <t>Ліцензія/Свідоцтво</t>
  </si>
  <si>
    <t>Номер контактного телефону</t>
  </si>
  <si>
    <t>Адреса електронної пошти</t>
  </si>
  <si>
    <t>Адреса офіційного веб-сайту</t>
  </si>
  <si>
    <t>3. Основні умови кредитування з урахуванням побажань споживача</t>
  </si>
  <si>
    <t>Тип кредиту</t>
  </si>
  <si>
    <t>Сума кредиту, грн.</t>
  </si>
  <si>
    <t>Мета отримання кредиту</t>
  </si>
  <si>
    <t>Спосіб та строк надання кредиту</t>
  </si>
  <si>
    <t>Можливі види (форми) забезпечення кредиту</t>
  </si>
  <si>
    <t>Необхідність проведення оцінки забезпечення кредиту</t>
  </si>
  <si>
    <t>Мінімальний розмір власного платежу (фінансової участі) споживача за умови отримання кредиту на придбання товару/роботи/послуги, %</t>
  </si>
  <si>
    <t>Тип процентної ставки</t>
  </si>
  <si>
    <t>Порядок зміни змінюваної процентної ставки</t>
  </si>
  <si>
    <t>Зазначаються розмір платежу та база його розрахунку</t>
  </si>
  <si>
    <t>Загальні витрати за кредитом, грн.</t>
  </si>
  <si>
    <t>Орієнтовна загальна вартість кредиту для споживача за весь строк користування кредитом (у т. ч. тіло кредиту, відсотки, комісії та інші платежі), грн.</t>
  </si>
  <si>
    <t>Реальна річна процентна ставка, відсотків річних</t>
  </si>
  <si>
    <t xml:space="preserve">Застереження: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кредитування, викладених вище, і на припущенні, що договір про споживчий кредит залишатиметься дійсним протягом погодженого строку, а кредитодавець і споживач виконають свої обов'язки на умовах та у строки, визначені в договорі. </t>
  </si>
  <si>
    <t>Реальна річна процентна ставка обчислена на основі припущення,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кредит.</t>
  </si>
  <si>
    <t>Застереження: використання інших способів надання кредиту та/або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споживача.</t>
  </si>
  <si>
    <t>5. Порядок повернення кредиту</t>
  </si>
  <si>
    <t>Кількість та розмір платежів, періодичність внесення</t>
  </si>
  <si>
    <t>6. Додаткова інформація</t>
  </si>
  <si>
    <t>пеня</t>
  </si>
  <si>
    <t>інші платежі</t>
  </si>
  <si>
    <t>7. Інші важливі правові аспекти</t>
  </si>
  <si>
    <t xml:space="preserve">Споживач має право безкоштовно отримати копію проекту договору про споживчий кредит у письмовій чи електронній формі за своїм вибором. Це положення не застосовується у разі відмови кредитодавця від продовження процесу укладання договору зі споживачем. </t>
  </si>
  <si>
    <t>Споживач має право відмовитися від договору про споживчий кредит протягом 14 календарних днів у порядку та на умовах, визначених Законом України "Про споживче кредитування".</t>
  </si>
  <si>
    <t>Умови договору про споживчий кредит можуть відрізнятися від інформації, наведеної в цьому Паспорті споживчого кредиту, та будуть залежати від проведеної кредитодавцем оцінки кредитоспроможності споживача з урахуванням, зокрема, наданої ним інформації про майновий та сімейний стан, розмір доходів тощо.</t>
  </si>
  <si>
    <t>Підпис кредитодавця:</t>
  </si>
  <si>
    <t>_______________________П. І. Б., _________підпис</t>
  </si>
  <si>
    <t>Підтверджую отримання та ознайомлення з інформацією про умови кредитування та орієнтовну загальну вартість кредиту, надані виходячи із обраних мною умов кредитування.</t>
  </si>
  <si>
    <t xml:space="preserve">Підтверджую отримання мною всіх пояснень, необхідних для забезпечення можливості оцінити, чи адаптовано договір до моїх потреб та фінансової ситуації, зокрема шляхом роз'яснення наведеної інформації, в тому числі суттєвих характеристик запропонованих послуг та певних наслідків, які вони можуть мати для мене, в тому числі в разі невиконання мною зобов'язань за таким договором. </t>
  </si>
  <si>
    <t>Підпис споживача:</t>
  </si>
  <si>
    <t xml:space="preserve">__ __ ____Дата, _____________П. І. Б., __________підпис. </t>
  </si>
  <si>
    <t>Відсоткова ставка</t>
  </si>
  <si>
    <t>Строк кредиту, міс</t>
  </si>
  <si>
    <t>Сумма кредиту, грн</t>
  </si>
  <si>
    <t>№</t>
  </si>
  <si>
    <t>Дата платежу</t>
  </si>
  <si>
    <t>Кіль-кість днів у звітньо-му періоді</t>
  </si>
  <si>
    <t>Залишок основного боргу для нарахування відсотків</t>
  </si>
  <si>
    <t>Погашення основної суми кредиту</t>
  </si>
  <si>
    <t>Орієнтовна сума відсотків</t>
  </si>
  <si>
    <t>Орієнтовна сума платежу за розрахунковий період</t>
  </si>
  <si>
    <t>Одноразова комісія за надання кредиту</t>
  </si>
  <si>
    <t>Одноразова комісія за надання кредиту, грн</t>
  </si>
  <si>
    <t>відсутні</t>
  </si>
  <si>
    <t>Маржа</t>
  </si>
  <si>
    <t>Дата початку плаваючої ставки</t>
  </si>
  <si>
    <t>ПМ</t>
  </si>
  <si>
    <t>Загальна вартість кредиту, грн</t>
  </si>
  <si>
    <t>кредит</t>
  </si>
  <si>
    <t>за власні кошти</t>
  </si>
  <si>
    <t>Комісія за надання кредиту, % від суми кредиту</t>
  </si>
  <si>
    <t>відсутнє</t>
  </si>
  <si>
    <t>наявне</t>
  </si>
  <si>
    <t>Загальна вартість кредиту, грн.</t>
  </si>
  <si>
    <t>Реальна річна процентна ставка, %</t>
  </si>
  <si>
    <t>-</t>
  </si>
  <si>
    <t>Розрахунково-касове обслуговування, грн</t>
  </si>
  <si>
    <t>Діючий Індекс UIDR (12 міс у гривні)</t>
  </si>
  <si>
    <t>Споживач має право достроково повернути споживчий кредит без будь-якої додаткової плати, пов'язаної з достроковим поверненням. Договором про споживчий кредит може бути встановлений обов'язок повідомлення кредитодавця про намір дострокового повернення кредиту з оформленням відповідного документа.</t>
  </si>
  <si>
    <t>Одноразова комісія за надання кредиту, % від суми кредиту</t>
  </si>
  <si>
    <t>Найменування кредитного посередника</t>
  </si>
  <si>
    <t>Місцезнаходження</t>
  </si>
  <si>
    <t>Адреса офіційного веб-сайту*</t>
  </si>
  <si>
    <t>Строк кредитування</t>
  </si>
  <si>
    <t xml:space="preserve"> міс.</t>
  </si>
  <si>
    <t>Застереження: витрати на такі послуги можуть змінюватися протягом строку дії договору про споживчий кредит</t>
  </si>
  <si>
    <t>Платежі за послуги кредитного посередника, що підлягають сплаті споживачем, грн.*</t>
  </si>
  <si>
    <t>[зазначаються розмір платежу, база його розрахунку та умови його застосування]</t>
  </si>
  <si>
    <t>штрафи</t>
  </si>
  <si>
    <t>2. Посулуги оцінювача</t>
  </si>
  <si>
    <t>3. Послуга страховика</t>
  </si>
  <si>
    <t>4. Інші послуги третіх осіб</t>
  </si>
  <si>
    <t>Послуги третіх осіб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</si>
  <si>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</si>
  <si>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</si>
  <si>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</si>
  <si>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</si>
  <si>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>Інші послуги банка</t>
  </si>
  <si>
    <t>Додаткові витрати, повязані з оформленням кредиту</t>
  </si>
  <si>
    <t>Послуги нотаріуса, грн</t>
  </si>
  <si>
    <t>Послуги оцінювача, грн</t>
  </si>
  <si>
    <t>Інші послуги банку</t>
  </si>
  <si>
    <t>Пакет "Фамільний"</t>
  </si>
  <si>
    <t>застава</t>
  </si>
  <si>
    <t>позичальник</t>
  </si>
  <si>
    <t>Грошовий потік</t>
  </si>
  <si>
    <t>Відсоткова ставка з 25 місяця</t>
  </si>
  <si>
    <t xml:space="preserve">1. Послуги нотаріуса </t>
  </si>
  <si>
    <t>4. Інформація щодо орієнтовної реальної річної процентної ставки та орієнтовної загальної вартості кредиту для споживача</t>
  </si>
  <si>
    <t xml:space="preserve">Дата надання інформації: </t>
  </si>
  <si>
    <t xml:space="preserve">Ця інформація зберігає чинність та є актуальною до </t>
  </si>
  <si>
    <t xml:space="preserve">Фіксована </t>
  </si>
  <si>
    <t>АКЦІОНЕРНЕ ТОВАРИСТВО «БАНК ІНВЕСТИЦІЙ ТА ЗАОЩАДЖЕНЬ»</t>
  </si>
  <si>
    <t>Україна, 04119, м. Київ, вул. Юрія Іллєнка, 83-Д</t>
  </si>
  <si>
    <t>Ліцензія Національного банку України №221 від 09 серпня 2005 р.</t>
  </si>
  <si>
    <t>0 800 50 30 05</t>
  </si>
  <si>
    <t>info@bisbank.com.ua</t>
  </si>
  <si>
    <t>https://www.bisbank.com.ua/</t>
  </si>
  <si>
    <t>Дата кредиту</t>
  </si>
  <si>
    <t>Дата погашення</t>
  </si>
  <si>
    <t>Страхування застави %/грн</t>
  </si>
  <si>
    <t>Страхування позичальника,%/грн</t>
  </si>
  <si>
    <r>
      <t xml:space="preserve">1.        </t>
    </r>
    <r>
      <rPr>
        <b/>
        <sz val="11"/>
        <color theme="1"/>
        <rFont val="Times New Roman"/>
        <family val="1"/>
        <charset val="204"/>
      </rPr>
      <t>Інформація та контактні дані кредитодавця</t>
    </r>
  </si>
  <si>
    <t>2.        Інформація та контактні дані кредитного посередника – не залучається</t>
  </si>
  <si>
    <t>строковий кредит</t>
  </si>
  <si>
    <t>споживчий кредит під заставу нерухомості</t>
  </si>
  <si>
    <t>Безготівковим шляхом на поточний рахунок позичальника</t>
  </si>
  <si>
    <r>
      <t>Наслідки прострочення виконання та/або невиконання зобов'язань за договором про споживчий кредит:</t>
    </r>
    <r>
      <rPr>
        <sz val="11"/>
        <color theme="1"/>
        <rFont val="Calibri"/>
        <family val="2"/>
        <charset val="204"/>
        <scheme val="minor"/>
      </rPr>
      <t> </t>
    </r>
  </si>
  <si>
    <t>Зазначені у графіку платежів - Додаткок 1 до цього Паспорту споживчого кредиту</t>
  </si>
  <si>
    <t>За повне або часткове прострочення повернення Кредиту та/або
сплати процентів за користування Кредитом Позичальник
забов’язаний сплатити Банку пеню у розмірі подвійної облікової
ставки Національного банку України, що діяла у період, за який
стягується пеня, від простроченої суми за кожний день прострочення,
але не більше 15 (п’ятнадцяти) відсотків суми простроченого
платежу. Пеня нараховується, виходячи з фактичної кількості днів у
місяці та році.</t>
  </si>
  <si>
    <t>процентна ставка, яка застосовується при невиконанні зобов’язання щодо повернення кредиту</t>
  </si>
  <si>
    <t>відсутня</t>
  </si>
  <si>
    <t xml:space="preserve"> Процентна ставка, відсотків річних </t>
  </si>
  <si>
    <t>Мінімальна вартість ТЗ, грн</t>
  </si>
  <si>
    <t>Таблиця обчислення орієнтовної вартості споживчого кредиту під заставу рухомого майна</t>
  </si>
  <si>
    <t>Щомісячна комісія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</si>
  <si>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</si>
  <si>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</si>
  <si>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</si>
  <si>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</si>
  <si>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</si>
  <si>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сума кредиту за договором</t>
  </si>
  <si>
    <t>проценти за користування кредитом</t>
  </si>
  <si>
    <t>платежі за додаткові та супутні послуги</t>
  </si>
  <si>
    <t>банку</t>
  </si>
  <si>
    <t>третіх осіб</t>
  </si>
  <si>
    <t>за обслуговування кредитної заборгованості</t>
  </si>
  <si>
    <t>розрахунково-касове обслуговування</t>
  </si>
  <si>
    <t>комісія за надання кредиту</t>
  </si>
  <si>
    <t>комісійний збір</t>
  </si>
  <si>
    <t>послуги нотаріуса</t>
  </si>
  <si>
    <t>послуги оцінювача</t>
  </si>
  <si>
    <t>послуги страховика</t>
  </si>
  <si>
    <t>інша плата за послуги кредитного посередника</t>
  </si>
  <si>
    <t xml:space="preserve">кредитного посередника </t>
  </si>
  <si>
    <t>інші послуги третіх осіб</t>
  </si>
  <si>
    <t>інші послуги банку</t>
  </si>
  <si>
    <t xml:space="preserve"> </t>
  </si>
  <si>
    <t xml:space="preserve">  </t>
  </si>
  <si>
    <t>Таблиця обчислення орієнтовної вартості споживчого кредиту</t>
  </si>
  <si>
    <t>Щомісячна комісія за обслуговування кредиту, % від суми кредиту</t>
  </si>
  <si>
    <t>Розрахунково-касове обслуговування кредиту (річне/ щомісячне), грн</t>
  </si>
  <si>
    <t>так</t>
  </si>
  <si>
    <t xml:space="preserve">Паспорт споживчого кредиту </t>
  </si>
  <si>
    <t>Платежі за супровідні послуги кредитодавця, обов'язкові для укладання договору, грн.:</t>
  </si>
  <si>
    <t>Платежі за супровідні послуги третіх осіб, обов'язкові для укладення договору/отримання кредиту, грн:</t>
  </si>
  <si>
    <t>Щомісячна комісія  від суми кредиту</t>
  </si>
  <si>
    <t>Разова комісія  від суми кредиту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</si>
</sst>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%"/>
    <numFmt numFmtId="166" formatCode="#,##0.00_ ;[Red]\-#,##0.00\ 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name val="Arial Cyr"/>
      <charset val="204"/>
    </font>
    <font>
      <sz val="10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9"/>
      <color theme="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99">
    <xf numFmtId="0" fontId="0" fillId="0" borderId="0" xfId="0"/>
    <xf numFmtId="0" fontId="5" fillId="0" borderId="0" xfId="0" applyFont="1" applyAlignment="1" applyProtection="1">
      <alignment horizontal="left" wrapText="1"/>
      <protection hidden="1"/>
    </xf>
    <xf numFmtId="0" fontId="0" fillId="0" borderId="0" xfId="0"/>
    <xf numFmtId="0" fontId="5" fillId="0" borderId="0" xfId="0" applyFont="1" applyAlignment="1" applyProtection="1">
      <alignment wrapText="1"/>
      <protection hidden="1"/>
    </xf>
    <xf numFmtId="0" fontId="0" fillId="2" borderId="0" xfId="0" applyFill="1"/>
    <xf numFmtId="0" fontId="4" fillId="2" borderId="0" xfId="1" applyFont="1" applyFill="1" applyBorder="1" applyAlignment="1" applyProtection="1">
      <alignment horizontal="left"/>
      <protection locked="0" hidden="1"/>
    </xf>
    <xf numFmtId="0" fontId="5" fillId="2" borderId="0" xfId="0" applyFont="1" applyFill="1" applyAlignment="1" applyProtection="1">
      <alignment wrapText="1"/>
      <protection hidden="1"/>
    </xf>
    <xf numFmtId="0" fontId="5" fillId="2" borderId="0" xfId="0" applyFont="1" applyFill="1" applyAlignment="1" applyProtection="1">
      <alignment horizontal="left" wrapText="1"/>
      <protection hidden="1"/>
    </xf>
    <xf numFmtId="0" fontId="5" fillId="0" borderId="0" xfId="0" applyFont="1" applyFill="1" applyAlignment="1" applyProtection="1">
      <alignment horizontal="left" wrapText="1"/>
      <protection hidden="1"/>
    </xf>
    <xf numFmtId="0" fontId="5" fillId="0" borderId="0" xfId="0" applyFont="1" applyFill="1" applyBorder="1" applyAlignment="1" applyProtection="1">
      <alignment horizontal="center" wrapText="1"/>
      <protection hidden="1"/>
    </xf>
    <xf numFmtId="0" fontId="7" fillId="2" borderId="0" xfId="0" applyFont="1" applyFill="1"/>
    <xf numFmtId="0" fontId="5" fillId="2" borderId="11" xfId="0" applyFont="1" applyFill="1" applyBorder="1" applyAlignment="1" applyProtection="1">
      <alignment horizontal="left" wrapText="1"/>
      <protection hidden="1"/>
    </xf>
    <xf numFmtId="0" fontId="5" fillId="2" borderId="12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16" xfId="0" applyFont="1" applyFill="1" applyBorder="1" applyAlignment="1" applyProtection="1">
      <alignment horizontal="left" wrapText="1"/>
      <protection hidden="1"/>
    </xf>
    <xf numFmtId="0" fontId="5" fillId="2" borderId="13" xfId="0" applyFont="1" applyFill="1" applyBorder="1" applyAlignment="1" applyProtection="1">
      <alignment wrapText="1"/>
      <protection hidden="1"/>
    </xf>
    <xf numFmtId="0" fontId="0" fillId="0" borderId="0" xfId="0" applyFont="1"/>
    <xf numFmtId="4" fontId="7" fillId="2" borderId="0" xfId="0" applyNumberFormat="1" applyFont="1" applyFill="1"/>
    <xf numFmtId="0" fontId="0" fillId="0" borderId="0" xfId="0" applyFont="1" applyFill="1" applyBorder="1" applyAlignment="1" applyProtection="1">
      <alignment horizontal="left" wrapText="1"/>
      <protection hidden="1"/>
    </xf>
    <xf numFmtId="0" fontId="6" fillId="3" borderId="10" xfId="0" applyFont="1" applyFill="1" applyBorder="1" applyAlignment="1" applyProtection="1">
      <alignment vertical="center" wrapText="1"/>
      <protection hidden="1"/>
    </xf>
    <xf numFmtId="10" fontId="5" fillId="0" borderId="0" xfId="0" applyNumberFormat="1" applyFont="1" applyBorder="1" applyAlignment="1" applyProtection="1">
      <alignment horizontal="center" wrapText="1"/>
      <protection hidden="1"/>
    </xf>
    <xf numFmtId="4" fontId="5" fillId="0" borderId="0" xfId="0" applyNumberFormat="1" applyFont="1" applyBorder="1" applyAlignment="1" applyProtection="1">
      <alignment horizontal="center" wrapText="1"/>
      <protection hidden="1"/>
    </xf>
    <xf numFmtId="0" fontId="13" fillId="2" borderId="0" xfId="0" applyFont="1" applyFill="1"/>
    <xf numFmtId="14" fontId="7" fillId="2" borderId="0" xfId="0" applyNumberFormat="1" applyFont="1" applyFill="1"/>
    <xf numFmtId="0" fontId="1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 applyBorder="1" applyProtection="1">
      <protection hidden="1"/>
    </xf>
    <xf numFmtId="0" fontId="1" fillId="2" borderId="0" xfId="0" applyFont="1" applyFill="1" applyProtection="1">
      <protection hidden="1"/>
    </xf>
    <xf numFmtId="4" fontId="0" fillId="0" borderId="0" xfId="0" applyNumberFormat="1" applyProtection="1">
      <protection hidden="1"/>
    </xf>
    <xf numFmtId="0" fontId="1" fillId="2" borderId="0" xfId="0" applyFont="1" applyFill="1" applyBorder="1" applyProtection="1">
      <protection hidden="1"/>
    </xf>
    <xf numFmtId="10" fontId="7" fillId="0" borderId="0" xfId="0" applyNumberFormat="1" applyFont="1" applyFill="1" applyBorder="1" applyProtection="1">
      <protection locked="0" hidden="1"/>
    </xf>
    <xf numFmtId="0" fontId="11" fillId="0" borderId="0" xfId="0" applyFont="1" applyProtection="1">
      <protection hidden="1"/>
    </xf>
    <xf numFmtId="4" fontId="11" fillId="0" borderId="0" xfId="0" applyNumberFormat="1" applyFont="1" applyProtection="1">
      <protection hidden="1"/>
    </xf>
    <xf numFmtId="0" fontId="15" fillId="2" borderId="0" xfId="0" applyFont="1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13" fillId="2" borderId="0" xfId="0" applyFont="1" applyFill="1" applyBorder="1" applyAlignment="1" applyProtection="1">
      <alignment wrapText="1"/>
      <protection hidden="1"/>
    </xf>
    <xf numFmtId="0" fontId="0" fillId="2" borderId="19" xfId="0" applyFont="1" applyFill="1" applyBorder="1" applyAlignment="1" applyProtection="1">
      <protection hidden="1"/>
    </xf>
    <xf numFmtId="0" fontId="0" fillId="2" borderId="18" xfId="0" applyFont="1" applyFill="1" applyBorder="1" applyAlignment="1" applyProtection="1">
      <protection hidden="1"/>
    </xf>
    <xf numFmtId="4" fontId="7" fillId="0" borderId="0" xfId="0" applyNumberFormat="1" applyFont="1" applyFill="1" applyBorder="1" applyProtection="1">
      <protection locked="0" hidden="1"/>
    </xf>
    <xf numFmtId="4" fontId="7" fillId="2" borderId="0" xfId="0" applyNumberFormat="1" applyFont="1" applyFill="1" applyBorder="1" applyProtection="1">
      <protection locked="0" hidden="1"/>
    </xf>
    <xf numFmtId="0" fontId="15" fillId="2" borderId="0" xfId="0" applyFont="1" applyFill="1" applyBorder="1" applyAlignment="1" applyProtection="1">
      <alignment wrapText="1"/>
      <protection hidden="1"/>
    </xf>
    <xf numFmtId="10" fontId="7" fillId="2" borderId="0" xfId="0" applyNumberFormat="1" applyFont="1" applyFill="1" applyBorder="1" applyProtection="1">
      <protection locked="0" hidden="1"/>
    </xf>
    <xf numFmtId="0" fontId="11" fillId="0" borderId="0" xfId="0" applyNumberFormat="1" applyFont="1" applyProtection="1">
      <protection hidden="1"/>
    </xf>
    <xf numFmtId="4" fontId="7" fillId="2" borderId="0" xfId="0" applyNumberFormat="1" applyFont="1" applyFill="1" applyBorder="1" applyProtection="1">
      <protection hidden="1"/>
    </xf>
    <xf numFmtId="0" fontId="0" fillId="2" borderId="0" xfId="0" applyFill="1" applyBorder="1" applyProtection="1">
      <protection locked="0" hidden="1"/>
    </xf>
    <xf numFmtId="10" fontId="7" fillId="2" borderId="0" xfId="0" applyNumberFormat="1" applyFont="1" applyFill="1" applyBorder="1" applyProtection="1">
      <protection hidden="1"/>
    </xf>
    <xf numFmtId="0" fontId="0" fillId="3" borderId="2" xfId="0" applyFill="1" applyBorder="1" applyAlignment="1" applyProtection="1">
      <protection hidden="1"/>
    </xf>
    <xf numFmtId="0" fontId="0" fillId="3" borderId="9" xfId="0" applyFill="1" applyBorder="1" applyAlignment="1" applyProtection="1">
      <protection hidden="1"/>
    </xf>
    <xf numFmtId="4" fontId="0" fillId="2" borderId="0" xfId="0" applyNumberFormat="1" applyFill="1" applyBorder="1" applyProtection="1">
      <protection locked="0" hidden="1"/>
    </xf>
    <xf numFmtId="0" fontId="7" fillId="2" borderId="0" xfId="0" applyFont="1" applyFill="1" applyBorder="1" applyAlignment="1" applyProtection="1">
      <alignment wrapText="1"/>
      <protection hidden="1"/>
    </xf>
    <xf numFmtId="0" fontId="0" fillId="2" borderId="14" xfId="0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7" fillId="0" borderId="0" xfId="0" applyFont="1" applyFill="1" applyBorder="1" applyAlignment="1" applyProtection="1">
      <alignment wrapText="1"/>
      <protection hidden="1"/>
    </xf>
    <xf numFmtId="0" fontId="7" fillId="0" borderId="0" xfId="0" applyFont="1" applyFill="1" applyBorder="1" applyProtection="1">
      <protection hidden="1"/>
    </xf>
    <xf numFmtId="0" fontId="0" fillId="2" borderId="2" xfId="0" applyFill="1" applyBorder="1" applyAlignment="1" applyProtection="1">
      <protection hidden="1"/>
    </xf>
    <xf numFmtId="0" fontId="0" fillId="2" borderId="9" xfId="0" applyFill="1" applyBorder="1" applyAlignment="1" applyProtection="1">
      <protection hidden="1"/>
    </xf>
    <xf numFmtId="0" fontId="0" fillId="2" borderId="6" xfId="0" applyFill="1" applyBorder="1" applyAlignment="1" applyProtection="1">
      <protection hidden="1"/>
    </xf>
    <xf numFmtId="0" fontId="0" fillId="2" borderId="1" xfId="0" applyFill="1" applyBorder="1" applyAlignment="1" applyProtection="1">
      <protection hidden="1"/>
    </xf>
    <xf numFmtId="4" fontId="0" fillId="0" borderId="0" xfId="0" applyNumberFormat="1" applyFill="1" applyBorder="1" applyProtection="1">
      <protection locked="0" hidden="1"/>
    </xf>
    <xf numFmtId="0" fontId="7" fillId="2" borderId="0" xfId="0" applyFont="1" applyFill="1" applyProtection="1">
      <protection hidden="1"/>
    </xf>
    <xf numFmtId="10" fontId="10" fillId="2" borderId="0" xfId="0" applyNumberFormat="1" applyFont="1" applyFill="1" applyProtection="1">
      <protection hidden="1"/>
    </xf>
    <xf numFmtId="0" fontId="0" fillId="2" borderId="11" xfId="0" applyFill="1" applyBorder="1" applyProtection="1">
      <protection hidden="1"/>
    </xf>
    <xf numFmtId="14" fontId="0" fillId="0" borderId="0" xfId="0" applyNumberFormat="1" applyFill="1" applyBorder="1" applyAlignment="1" applyProtection="1">
      <alignment horizontal="center"/>
      <protection hidden="1"/>
    </xf>
    <xf numFmtId="4" fontId="0" fillId="0" borderId="0" xfId="0" applyNumberFormat="1" applyFill="1" applyBorder="1" applyAlignment="1" applyProtection="1">
      <alignment horizontal="center"/>
      <protection hidden="1"/>
    </xf>
    <xf numFmtId="4" fontId="11" fillId="0" borderId="0" xfId="0" applyNumberFormat="1" applyFont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4" fontId="0" fillId="0" borderId="0" xfId="0" applyNumberFormat="1" applyFont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" fontId="0" fillId="0" borderId="0" xfId="0" applyNumberFormat="1" applyFill="1" applyProtection="1">
      <protection hidden="1"/>
    </xf>
    <xf numFmtId="4" fontId="0" fillId="0" borderId="0" xfId="0" applyNumberFormat="1" applyBorder="1" applyAlignment="1" applyProtection="1">
      <alignment horizontal="center"/>
      <protection hidden="1"/>
    </xf>
    <xf numFmtId="4" fontId="0" fillId="2" borderId="0" xfId="0" applyNumberFormat="1" applyFill="1" applyBorder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10" fontId="0" fillId="0" borderId="1" xfId="0" applyNumberFormat="1" applyFill="1" applyBorder="1" applyProtection="1">
      <protection locked="0" hidden="1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0" fontId="0" fillId="0" borderId="2" xfId="0" applyFill="1" applyBorder="1" applyAlignment="1" applyProtection="1">
      <protection hidden="1"/>
    </xf>
    <xf numFmtId="0" fontId="0" fillId="0" borderId="9" xfId="0" applyFill="1" applyBorder="1" applyAlignment="1" applyProtection="1"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15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6" fillId="4" borderId="5" xfId="0" applyFont="1" applyFill="1" applyBorder="1" applyAlignment="1" applyProtection="1">
      <alignment horizontal="center" vertical="center" wrapText="1"/>
      <protection hidden="1"/>
    </xf>
    <xf numFmtId="0" fontId="18" fillId="2" borderId="0" xfId="1" applyFont="1" applyFill="1" applyBorder="1" applyAlignment="1" applyProtection="1">
      <alignment horizontal="left"/>
      <protection locked="0" hidden="1"/>
    </xf>
    <xf numFmtId="0" fontId="15" fillId="2" borderId="0" xfId="0" applyFont="1" applyFill="1"/>
    <xf numFmtId="0" fontId="2" fillId="2" borderId="0" xfId="0" applyFont="1" applyFill="1" applyAlignment="1">
      <alignment vertical="center"/>
    </xf>
    <xf numFmtId="0" fontId="0" fillId="2" borderId="0" xfId="0" applyFont="1" applyFill="1"/>
    <xf numFmtId="0" fontId="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/>
    <xf numFmtId="0" fontId="19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justify" vertical="center" wrapText="1"/>
    </xf>
    <xf numFmtId="166" fontId="7" fillId="2" borderId="0" xfId="0" applyNumberFormat="1" applyFont="1" applyFill="1" applyBorder="1" applyAlignment="1" applyProtection="1">
      <alignment horizontal="center"/>
      <protection hidden="1"/>
    </xf>
    <xf numFmtId="0" fontId="0" fillId="0" borderId="0" xfId="0"/>
    <xf numFmtId="0" fontId="9" fillId="0" borderId="2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4" fontId="9" fillId="0" borderId="0" xfId="0" applyNumberFormat="1" applyFont="1" applyBorder="1" applyAlignment="1">
      <alignment vertical="top" wrapText="1"/>
    </xf>
    <xf numFmtId="4" fontId="9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 applyFill="1" applyBorder="1" applyAlignment="1" applyProtection="1">
      <alignment horizontal="center"/>
      <protection hidden="1"/>
    </xf>
    <xf numFmtId="4" fontId="7" fillId="5" borderId="0" xfId="0" applyNumberFormat="1" applyFont="1" applyFill="1" applyBorder="1" applyAlignment="1" applyProtection="1">
      <alignment horizontal="center"/>
      <protection hidden="1"/>
    </xf>
    <xf numFmtId="4" fontId="20" fillId="0" borderId="0" xfId="0" applyNumberFormat="1" applyFont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Border="1" applyAlignment="1">
      <alignment horizontal="center" vertical="center" wrapText="1"/>
    </xf>
    <xf numFmtId="0" fontId="21" fillId="0" borderId="0" xfId="0" applyFont="1"/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4" fontId="19" fillId="0" borderId="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14" fontId="0" fillId="0" borderId="24" xfId="0" applyNumberFormat="1" applyBorder="1" applyProtection="1"/>
    <xf numFmtId="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10" fontId="0" fillId="0" borderId="24" xfId="0" applyNumberFormat="1" applyBorder="1"/>
    <xf numFmtId="0" fontId="0" fillId="0" borderId="0" xfId="0" applyBorder="1"/>
    <xf numFmtId="10" fontId="0" fillId="0" borderId="0" xfId="0" applyNumberFormat="1" applyBorder="1" applyProtection="1">
      <protection locked="0"/>
    </xf>
    <xf numFmtId="0" fontId="22" fillId="0" borderId="0" xfId="0" applyFont="1" applyBorder="1" applyAlignment="1">
      <alignment wrapText="1"/>
    </xf>
    <xf numFmtId="4" fontId="0" fillId="0" borderId="0" xfId="0" applyNumberFormat="1" applyBorder="1" applyProtection="1">
      <protection locked="0"/>
    </xf>
    <xf numFmtId="165" fontId="9" fillId="0" borderId="0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23" fillId="0" borderId="0" xfId="0" applyFont="1" applyBorder="1" applyAlignment="1">
      <alignment horizont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6" fillId="2" borderId="1" xfId="4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0" fontId="0" fillId="0" borderId="9" xfId="0" applyNumberFormat="1" applyFill="1" applyBorder="1" applyAlignment="1" applyProtection="1">
      <alignment horizontal="center"/>
      <protection locked="0" hidden="1"/>
    </xf>
    <xf numFmtId="0" fontId="1" fillId="0" borderId="5" xfId="0" applyFont="1" applyFill="1" applyBorder="1" applyAlignment="1" applyProtection="1">
      <alignment horizontal="right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right"/>
      <protection hidden="1"/>
    </xf>
    <xf numFmtId="0" fontId="1" fillId="0" borderId="2" xfId="0" applyFont="1" applyFill="1" applyBorder="1" applyAlignment="1" applyProtection="1">
      <alignment horizontal="right"/>
      <protection hidden="1"/>
    </xf>
    <xf numFmtId="14" fontId="0" fillId="2" borderId="5" xfId="0" applyNumberFormat="1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/>
      <protection hidden="1"/>
    </xf>
    <xf numFmtId="0" fontId="0" fillId="0" borderId="9" xfId="0" applyFill="1" applyBorder="1" applyAlignment="1" applyProtection="1">
      <alignment horizontal="left"/>
      <protection hidden="1"/>
    </xf>
    <xf numFmtId="4" fontId="0" fillId="0" borderId="2" xfId="0" applyNumberFormat="1" applyFill="1" applyBorder="1" applyAlignment="1" applyProtection="1">
      <alignment horizontal="center"/>
      <protection locked="0" hidden="1"/>
    </xf>
    <xf numFmtId="4" fontId="0" fillId="0" borderId="6" xfId="0" applyNumberFormat="1" applyFill="1" applyBorder="1" applyAlignment="1" applyProtection="1">
      <alignment horizontal="center"/>
      <protection locked="0"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 applyProtection="1">
      <alignment horizontal="center"/>
      <protection hidden="1"/>
    </xf>
    <xf numFmtId="0" fontId="1" fillId="0" borderId="3" xfId="0" applyFont="1" applyFill="1" applyBorder="1" applyAlignment="1" applyProtection="1">
      <alignment horizontal="center" wrapText="1"/>
      <protection hidden="1"/>
    </xf>
    <xf numFmtId="0" fontId="1" fillId="0" borderId="15" xfId="0" applyFont="1" applyFill="1" applyBorder="1" applyAlignment="1" applyProtection="1">
      <alignment horizontal="center" wrapText="1"/>
      <protection hidden="1"/>
    </xf>
    <xf numFmtId="0" fontId="1" fillId="0" borderId="7" xfId="0" applyFont="1" applyFill="1" applyBorder="1" applyAlignment="1" applyProtection="1">
      <alignment horizontal="center" wrapText="1"/>
      <protection hidden="1"/>
    </xf>
    <xf numFmtId="0" fontId="1" fillId="0" borderId="5" xfId="0" applyFont="1" applyFill="1" applyBorder="1" applyAlignment="1" applyProtection="1">
      <alignment horizontal="center" wrapText="1"/>
      <protection hidden="1"/>
    </xf>
    <xf numFmtId="4" fontId="1" fillId="5" borderId="15" xfId="0" applyNumberFormat="1" applyFont="1" applyFill="1" applyBorder="1" applyAlignment="1" applyProtection="1">
      <alignment horizontal="center"/>
      <protection locked="0" hidden="1"/>
    </xf>
    <xf numFmtId="4" fontId="1" fillId="5" borderId="5" xfId="0" applyNumberFormat="1" applyFont="1" applyFill="1" applyBorder="1" applyAlignment="1" applyProtection="1">
      <alignment horizontal="center"/>
      <protection locked="0" hidden="1"/>
    </xf>
    <xf numFmtId="0" fontId="1" fillId="0" borderId="3" xfId="0" applyFont="1" applyFill="1" applyBorder="1" applyAlignment="1" applyProtection="1">
      <alignment horizontal="center"/>
      <protection hidden="1"/>
    </xf>
    <xf numFmtId="0" fontId="1" fillId="0" borderId="15" xfId="0" applyFont="1" applyFill="1" applyBorder="1" applyAlignment="1" applyProtection="1">
      <alignment horizontal="center"/>
      <protection hidden="1"/>
    </xf>
    <xf numFmtId="0" fontId="1" fillId="0" borderId="7" xfId="0" applyFont="1" applyFill="1" applyBorder="1" applyAlignment="1" applyProtection="1">
      <alignment horizontal="center"/>
      <protection hidden="1"/>
    </xf>
    <xf numFmtId="0" fontId="1" fillId="0" borderId="5" xfId="0" applyFont="1" applyFill="1" applyBorder="1" applyAlignment="1" applyProtection="1">
      <alignment horizontal="center"/>
      <protection hidden="1"/>
    </xf>
    <xf numFmtId="14" fontId="7" fillId="2" borderId="0" xfId="0" applyNumberFormat="1" applyFont="1" applyFill="1" applyBorder="1" applyAlignment="1" applyProtection="1">
      <alignment horizontal="right"/>
      <protection hidden="1"/>
    </xf>
    <xf numFmtId="14" fontId="0" fillId="2" borderId="5" xfId="0" applyNumberFormat="1" applyFill="1" applyBorder="1" applyAlignment="1" applyProtection="1">
      <alignment horizontal="center"/>
      <protection locked="0" hidden="1"/>
    </xf>
    <xf numFmtId="1" fontId="1" fillId="5" borderId="9" xfId="0" applyNumberFormat="1" applyFont="1" applyFill="1" applyBorder="1" applyAlignment="1" applyProtection="1">
      <alignment horizontal="center"/>
      <protection locked="0"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6" fillId="4" borderId="6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left"/>
      <protection hidden="1"/>
    </xf>
    <xf numFmtId="10" fontId="0" fillId="0" borderId="1" xfId="0" applyNumberForma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left"/>
      <protection hidden="1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0" fontId="1" fillId="0" borderId="1" xfId="0" applyFont="1" applyFill="1" applyBorder="1" applyAlignment="1" applyProtection="1">
      <alignment horizontal="left" wrapText="1"/>
      <protection hidden="1"/>
    </xf>
    <xf numFmtId="4" fontId="0" fillId="4" borderId="2" xfId="0" applyNumberFormat="1" applyFill="1" applyBorder="1" applyAlignment="1" applyProtection="1">
      <alignment horizontal="center"/>
      <protection locked="0" hidden="1"/>
    </xf>
    <xf numFmtId="4" fontId="0" fillId="4" borderId="6" xfId="0" applyNumberFormat="1" applyFill="1" applyBorder="1" applyAlignment="1" applyProtection="1">
      <alignment horizontal="center"/>
      <protection locked="0" hidden="1"/>
    </xf>
    <xf numFmtId="4" fontId="0" fillId="4" borderId="1" xfId="0" applyNumberFormat="1" applyFill="1" applyBorder="1" applyAlignment="1" applyProtection="1">
      <alignment horizontal="center"/>
      <protection locked="0" hidden="1"/>
    </xf>
    <xf numFmtId="0" fontId="9" fillId="0" borderId="23" xfId="0" applyFont="1" applyBorder="1" applyAlignment="1">
      <alignment horizontal="center" vertical="center" wrapText="1"/>
    </xf>
    <xf numFmtId="0" fontId="1" fillId="0" borderId="23" xfId="0" applyFont="1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1" fillId="0" borderId="24" xfId="0" applyFont="1" applyFill="1" applyBorder="1" applyAlignment="1" applyProtection="1">
      <alignment horizontal="right" wrapText="1"/>
      <protection hidden="1"/>
    </xf>
    <xf numFmtId="0" fontId="1" fillId="0" borderId="25" xfId="0" applyFont="1" applyFill="1" applyBorder="1" applyAlignment="1" applyProtection="1">
      <alignment horizontal="right" wrapText="1"/>
      <protection hidden="1"/>
    </xf>
    <xf numFmtId="0" fontId="1" fillId="0" borderId="24" xfId="0" applyFont="1" applyFill="1" applyBorder="1" applyAlignment="1" applyProtection="1">
      <alignment horizontal="right"/>
      <protection hidden="1"/>
    </xf>
    <xf numFmtId="0" fontId="1" fillId="0" borderId="25" xfId="0" applyFont="1" applyFill="1" applyBorder="1" applyAlignment="1" applyProtection="1">
      <alignment horizontal="right"/>
      <protection hidden="1"/>
    </xf>
  </cellXfs>
  <cellStyles count="5">
    <cellStyle name="Гиперссылка" xfId="4" builtinId="8"/>
    <cellStyle name="Обычный" xfId="0" builtinId="0"/>
    <cellStyle name="Обычный 2" xfId="1" xr:uid="{00000000-0005-0000-0000-000002000000}"/>
    <cellStyle name="Процентный 2" xfId="2" xr:uid="{00000000-0005-0000-0000-000003000000}"/>
    <cellStyle name="Финансовый 2" xfId="3" xr:uid="{00000000-0005-0000-0000-000004000000}"/>
  </cellStyles>
  <dxfs count="0"/>
  <tableStyles count="0" defaultTableStyle="TableStyleMedium2" defaultPivotStyle="PivotStyleLight16"/>
  <colors>
    <mruColors>
      <color rgb="FFF68E38"/>
      <color rgb="FFF5801F"/>
      <color rgb="FFF8A764"/>
      <color rgb="FF42F6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2124075</xdr:colOff>
      <xdr:row>1</xdr:row>
      <xdr:rowOff>285750</xdr:rowOff>
    </xdr:to>
    <xdr:sp macro="" textlink="">
      <xdr:nvSpPr>
        <xdr:cNvPr id="3" name="object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9525"/>
          <a:ext cx="2124075" cy="466725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uk-UA"/>
          </a:defPPr>
          <a:lvl1pPr marL="0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088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177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265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354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442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531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199619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6708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isbank.com.ua/" TargetMode="External"/><Relationship Id="rId1" Type="http://schemas.openxmlformats.org/officeDocument/2006/relationships/hyperlink" Target="mailto:info@bisbank.com.ua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6"/>
  <sheetViews>
    <sheetView topLeftCell="A19" workbookViewId="0">
      <selection activeCell="A50" sqref="A50"/>
    </sheetView>
  </sheetViews>
  <sheetFormatPr defaultRowHeight="14.5" x14ac:dyDescent="0.35"/>
  <cols>
    <col min="1" max="1" width="45.54296875" customWidth="1"/>
    <col min="2" max="2" width="6.54296875" customWidth="1"/>
    <col min="3" max="3" width="60.81640625" customWidth="1"/>
    <col min="4" max="4" width="10.1796875" bestFit="1" customWidth="1"/>
  </cols>
  <sheetData>
    <row r="1" spans="1:19" s="2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s="2" customFormat="1" ht="29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2" customFormat="1" x14ac:dyDescent="0.35">
      <c r="A3" s="147" t="s">
        <v>150</v>
      </c>
      <c r="B3" s="147"/>
      <c r="C3" s="147"/>
      <c r="D3" s="88"/>
      <c r="E3" s="88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35">
      <c r="A4" s="148" t="s">
        <v>109</v>
      </c>
      <c r="B4" s="149"/>
      <c r="C4" s="149"/>
      <c r="D4" s="88"/>
      <c r="E4" s="8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5" customHeight="1" x14ac:dyDescent="0.35">
      <c r="A5" s="135" t="s">
        <v>0</v>
      </c>
      <c r="B5" s="126" t="s">
        <v>99</v>
      </c>
      <c r="C5" s="126"/>
      <c r="D5" s="88"/>
      <c r="E5" s="8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35">
      <c r="A6" s="135"/>
      <c r="B6" s="126"/>
      <c r="C6" s="126"/>
      <c r="D6" s="88"/>
      <c r="E6" s="8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35">
      <c r="A7" s="135"/>
      <c r="B7" s="126"/>
      <c r="C7" s="126"/>
      <c r="D7" s="88"/>
      <c r="E7" s="2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5" customHeight="1" x14ac:dyDescent="0.35">
      <c r="A8" s="135" t="s">
        <v>1</v>
      </c>
      <c r="B8" s="126" t="s">
        <v>100</v>
      </c>
      <c r="C8" s="126"/>
      <c r="D8" s="88"/>
      <c r="E8" s="8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" customHeight="1" x14ac:dyDescent="0.35">
      <c r="A9" s="135"/>
      <c r="B9" s="126"/>
      <c r="C9" s="126"/>
      <c r="D9" s="88"/>
      <c r="E9" s="88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35">
      <c r="A10" s="135"/>
      <c r="B10" s="126"/>
      <c r="C10" s="126"/>
      <c r="D10" s="88"/>
      <c r="E10" s="88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35">
      <c r="A11" s="89" t="s">
        <v>2</v>
      </c>
      <c r="B11" s="130" t="s">
        <v>101</v>
      </c>
      <c r="C11" s="130"/>
      <c r="D11" s="88"/>
      <c r="E11" s="88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35">
      <c r="A12" s="89" t="s">
        <v>3</v>
      </c>
      <c r="B12" s="130" t="s">
        <v>102</v>
      </c>
      <c r="C12" s="130"/>
      <c r="D12" s="88"/>
      <c r="E12" s="8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35">
      <c r="A13" s="89" t="s">
        <v>4</v>
      </c>
      <c r="B13" s="137" t="s">
        <v>103</v>
      </c>
      <c r="C13" s="130"/>
      <c r="D13" s="88"/>
      <c r="E13" s="8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35">
      <c r="A14" s="89" t="s">
        <v>5</v>
      </c>
      <c r="B14" s="137" t="s">
        <v>104</v>
      </c>
      <c r="C14" s="130"/>
      <c r="D14" s="88"/>
      <c r="E14" s="88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customHeight="1" x14ac:dyDescent="0.35">
      <c r="A15" s="132" t="s">
        <v>110</v>
      </c>
      <c r="B15" s="132"/>
      <c r="C15" s="132"/>
      <c r="D15" s="88"/>
      <c r="E15" s="88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s="2" customFormat="1" ht="15.75" customHeight="1" x14ac:dyDescent="0.35">
      <c r="A16" s="90" t="s">
        <v>67</v>
      </c>
      <c r="B16" s="127" t="s">
        <v>50</v>
      </c>
      <c r="C16" s="128"/>
      <c r="D16" s="88"/>
      <c r="E16" s="88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s="2" customFormat="1" ht="15.75" customHeight="1" x14ac:dyDescent="0.35">
      <c r="A17" s="90" t="s">
        <v>68</v>
      </c>
      <c r="B17" s="127" t="s">
        <v>50</v>
      </c>
      <c r="C17" s="128"/>
      <c r="D17" s="88"/>
      <c r="E17" s="88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s="2" customFormat="1" ht="15.75" customHeight="1" x14ac:dyDescent="0.35">
      <c r="A18" s="90" t="s">
        <v>3</v>
      </c>
      <c r="B18" s="127" t="s">
        <v>50</v>
      </c>
      <c r="C18" s="128"/>
      <c r="D18" s="88"/>
      <c r="E18" s="88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s="2" customFormat="1" ht="15.75" customHeight="1" x14ac:dyDescent="0.35">
      <c r="A19" s="90" t="s">
        <v>4</v>
      </c>
      <c r="B19" s="127" t="s">
        <v>50</v>
      </c>
      <c r="C19" s="128"/>
      <c r="D19" s="88"/>
      <c r="E19" s="88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s="2" customFormat="1" ht="15.75" customHeight="1" x14ac:dyDescent="0.35">
      <c r="A20" s="90" t="s">
        <v>69</v>
      </c>
      <c r="B20" s="127" t="s">
        <v>50</v>
      </c>
      <c r="C20" s="128"/>
      <c r="D20" s="88"/>
      <c r="E20" s="88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customHeight="1" x14ac:dyDescent="0.35">
      <c r="A21" s="132" t="s">
        <v>6</v>
      </c>
      <c r="B21" s="132"/>
      <c r="C21" s="132"/>
      <c r="D21" s="88"/>
      <c r="E21" s="88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35">
      <c r="A22" s="89" t="s">
        <v>7</v>
      </c>
      <c r="B22" s="130" t="s">
        <v>111</v>
      </c>
      <c r="C22" s="130"/>
      <c r="D22" s="88"/>
      <c r="E22" s="88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35">
      <c r="A23" s="89" t="s">
        <v>8</v>
      </c>
      <c r="B23" s="138">
        <f>' '!D6</f>
        <v>250000</v>
      </c>
      <c r="C23" s="138"/>
      <c r="D23" s="88"/>
      <c r="E23" s="8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35">
      <c r="A24" s="89" t="s">
        <v>70</v>
      </c>
      <c r="B24" s="130" t="str">
        <f>CONCATENATE(E24,D24)</f>
        <v>36 міс.</v>
      </c>
      <c r="C24" s="130"/>
      <c r="D24" s="10" t="s">
        <v>71</v>
      </c>
      <c r="E24" s="10">
        <f>' '!D8</f>
        <v>36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s="2" customFormat="1" x14ac:dyDescent="0.35">
      <c r="A25" s="136" t="s">
        <v>9</v>
      </c>
      <c r="B25" s="130" t="s">
        <v>112</v>
      </c>
      <c r="C25" s="130"/>
      <c r="D25" s="88"/>
      <c r="E25" s="88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35">
      <c r="A26" s="136"/>
      <c r="B26" s="130"/>
      <c r="C26" s="130"/>
      <c r="D26" s="88"/>
      <c r="E26" s="88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8.75" customHeight="1" x14ac:dyDescent="0.35">
      <c r="A27" s="93" t="s">
        <v>10</v>
      </c>
      <c r="B27" s="130" t="s">
        <v>113</v>
      </c>
      <c r="C27" s="131"/>
      <c r="D27" s="88"/>
      <c r="E27" s="8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23.25" customHeight="1" x14ac:dyDescent="0.35">
      <c r="A28" s="92" t="s">
        <v>11</v>
      </c>
      <c r="B28" s="139"/>
      <c r="C28" s="140"/>
      <c r="D28" s="88"/>
      <c r="E28" s="88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30" customHeight="1" x14ac:dyDescent="0.35">
      <c r="A29" s="92" t="s">
        <v>12</v>
      </c>
      <c r="B29" s="130"/>
      <c r="C29" s="131"/>
      <c r="D29" s="88"/>
      <c r="E29" s="88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20.25" customHeight="1" x14ac:dyDescent="0.35">
      <c r="A30" s="135" t="s">
        <v>13</v>
      </c>
      <c r="B30" s="141" t="s">
        <v>62</v>
      </c>
      <c r="C30" s="130"/>
      <c r="D30" s="88"/>
      <c r="E30" s="88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26.25" customHeight="1" x14ac:dyDescent="0.35">
      <c r="A31" s="135"/>
      <c r="B31" s="130"/>
      <c r="C31" s="130"/>
      <c r="D31" s="88"/>
      <c r="E31" s="88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36.75" customHeight="1" x14ac:dyDescent="0.35">
      <c r="A32" s="132" t="s">
        <v>95</v>
      </c>
      <c r="B32" s="132"/>
      <c r="C32" s="132"/>
      <c r="D32" s="88"/>
      <c r="E32" s="88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9.5" customHeight="1" x14ac:dyDescent="0.35">
      <c r="A33" s="92" t="s">
        <v>119</v>
      </c>
      <c r="B33" s="142">
        <f>' '!D9</f>
        <v>0.25</v>
      </c>
      <c r="C33" s="142"/>
      <c r="D33" s="88"/>
      <c r="E33" s="88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35">
      <c r="A34" s="92" t="s">
        <v>14</v>
      </c>
      <c r="B34" s="130" t="s">
        <v>98</v>
      </c>
      <c r="C34" s="130"/>
      <c r="D34" s="88"/>
      <c r="E34" s="88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26.25" hidden="1" customHeight="1" x14ac:dyDescent="0.25">
      <c r="A35" s="92" t="s">
        <v>15</v>
      </c>
      <c r="B35" s="130"/>
      <c r="C35" s="130"/>
      <c r="D35" s="88"/>
      <c r="E35" s="8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28" x14ac:dyDescent="0.35">
      <c r="A36" s="92" t="s">
        <v>151</v>
      </c>
      <c r="B36" s="130" t="s">
        <v>16</v>
      </c>
      <c r="C36" s="130"/>
      <c r="D36" s="88"/>
      <c r="E36" s="8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x14ac:dyDescent="0.35">
      <c r="A37" s="92" t="s">
        <v>57</v>
      </c>
      <c r="B37" s="142">
        <f>' '!P3</f>
        <v>2.5000000000000001E-2</v>
      </c>
      <c r="C37" s="142"/>
      <c r="D37" s="88"/>
      <c r="E37" s="88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28" x14ac:dyDescent="0.35">
      <c r="A38" s="92" t="s">
        <v>147</v>
      </c>
      <c r="B38" s="143">
        <f>' '!N5</f>
        <v>5.0000000000000001E-3</v>
      </c>
      <c r="C38" s="130"/>
      <c r="D38" s="88"/>
      <c r="E38" s="88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34.5" customHeight="1" x14ac:dyDescent="0.35">
      <c r="A39" s="92" t="s">
        <v>148</v>
      </c>
      <c r="B39" s="138">
        <f>' '!P9</f>
        <v>0</v>
      </c>
      <c r="C39" s="132"/>
      <c r="D39" s="88"/>
      <c r="E39" s="88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15" hidden="1" x14ac:dyDescent="0.25">
      <c r="A40" s="92"/>
      <c r="B40" s="91"/>
      <c r="C40" s="9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s="2" customFormat="1" ht="30.75" customHeight="1" x14ac:dyDescent="0.35">
      <c r="A41" s="133" t="s">
        <v>72</v>
      </c>
      <c r="B41" s="145"/>
      <c r="C41" s="146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s="2" customFormat="1" ht="30" customHeight="1" x14ac:dyDescent="0.35">
      <c r="A42" s="95" t="s">
        <v>73</v>
      </c>
      <c r="B42" s="127" t="s">
        <v>50</v>
      </c>
      <c r="C42" s="12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35">
      <c r="A43" s="92" t="s">
        <v>17</v>
      </c>
      <c r="B43" s="138">
        <f ca="1">B44-B23</f>
        <v>158818.87</v>
      </c>
      <c r="C43" s="13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56" x14ac:dyDescent="0.35">
      <c r="A44" s="92" t="s">
        <v>18</v>
      </c>
      <c r="B44" s="138">
        <f ca="1">SUM(' '!Q25:Q85)</f>
        <v>408818.87</v>
      </c>
      <c r="C44" s="13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x14ac:dyDescent="0.35">
      <c r="A45" s="92" t="s">
        <v>19</v>
      </c>
      <c r="B45" s="151">
        <f ca="1">SUM(' '!P24:P266)</f>
        <v>0.42420840859413156</v>
      </c>
      <c r="C45" s="15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57.75" customHeight="1" x14ac:dyDescent="0.35">
      <c r="A46" s="136" t="s">
        <v>20</v>
      </c>
      <c r="B46" s="136"/>
      <c r="C46" s="136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44.25" customHeight="1" x14ac:dyDescent="0.35">
      <c r="A47" s="136" t="s">
        <v>21</v>
      </c>
      <c r="B47" s="136"/>
      <c r="C47" s="136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42" customHeight="1" x14ac:dyDescent="0.35">
      <c r="A48" s="136" t="s">
        <v>22</v>
      </c>
      <c r="B48" s="136"/>
      <c r="C48" s="13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s="2" customFormat="1" ht="52.5" customHeight="1" x14ac:dyDescent="0.35">
      <c r="A49" s="92" t="s">
        <v>152</v>
      </c>
      <c r="B49" s="130" t="s">
        <v>16</v>
      </c>
      <c r="C49" s="130"/>
      <c r="D49" s="86"/>
      <c r="E49" s="86"/>
      <c r="F49" s="8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s="2" customFormat="1" ht="24" customHeight="1" x14ac:dyDescent="0.35">
      <c r="A50" s="92" t="s">
        <v>94</v>
      </c>
      <c r="B50" s="144" t="str">
        <f t="shared" ref="B50:B52" si="0">IF(D50=0,E50,CONCATENATE(E50,D50))</f>
        <v>ні</v>
      </c>
      <c r="C50" s="144"/>
      <c r="D50" s="18">
        <f>' '!N7</f>
        <v>0</v>
      </c>
      <c r="E50" s="10" t="str">
        <f>IF(D50&gt;0,"так, ","ні")</f>
        <v>ні</v>
      </c>
      <c r="F50" s="8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s="2" customFormat="1" ht="24" customHeight="1" x14ac:dyDescent="0.35">
      <c r="A51" s="92" t="s">
        <v>76</v>
      </c>
      <c r="B51" s="144" t="str">
        <f t="shared" si="0"/>
        <v>ні</v>
      </c>
      <c r="C51" s="144"/>
      <c r="D51" s="18">
        <f>' '!N12</f>
        <v>0</v>
      </c>
      <c r="E51" s="10" t="str">
        <f>IF(D51&gt;0,"так, ","ні")</f>
        <v>ні</v>
      </c>
      <c r="F51" s="8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s="2" customFormat="1" ht="49.65" customHeight="1" x14ac:dyDescent="0.35">
      <c r="A52" s="92" t="s">
        <v>77</v>
      </c>
      <c r="B52" s="144" t="str">
        <f t="shared" si="0"/>
        <v>ні</v>
      </c>
      <c r="C52" s="144"/>
      <c r="D52" s="18">
        <f>' '!N9+' '!N11</f>
        <v>0</v>
      </c>
      <c r="E52" s="10" t="str">
        <f>IF(D52&gt;0,"так, ","ні")</f>
        <v>ні</v>
      </c>
      <c r="F52" s="8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s="2" customFormat="1" ht="24" customHeight="1" x14ac:dyDescent="0.35">
      <c r="A53" s="92" t="s">
        <v>78</v>
      </c>
      <c r="B53" s="144" t="str">
        <f>IF(D53=0,E53,CONCATENATE(E53,D53))</f>
        <v>ні</v>
      </c>
      <c r="C53" s="144"/>
      <c r="D53" s="18">
        <f>' '!N13</f>
        <v>0</v>
      </c>
      <c r="E53" s="10" t="str">
        <f>IF(D53&gt;0,"так, ","ні")</f>
        <v>ні</v>
      </c>
      <c r="F53" s="8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35">
      <c r="A54" s="132" t="s">
        <v>23</v>
      </c>
      <c r="B54" s="132"/>
      <c r="C54" s="132"/>
      <c r="D54" s="86"/>
      <c r="E54" s="86"/>
      <c r="F54" s="8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38.25" customHeight="1" x14ac:dyDescent="0.35">
      <c r="A55" s="92" t="s">
        <v>24</v>
      </c>
      <c r="B55" s="130" t="s">
        <v>115</v>
      </c>
      <c r="C55" s="13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x14ac:dyDescent="0.35">
      <c r="A56" s="132" t="s">
        <v>25</v>
      </c>
      <c r="B56" s="132"/>
      <c r="C56" s="132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42.5" x14ac:dyDescent="0.35">
      <c r="A57" s="92" t="s">
        <v>114</v>
      </c>
      <c r="B57" s="130" t="s">
        <v>74</v>
      </c>
      <c r="C57" s="130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21.65" customHeight="1" x14ac:dyDescent="0.35">
      <c r="A58" s="92" t="s">
        <v>26</v>
      </c>
      <c r="B58" s="136" t="s">
        <v>116</v>
      </c>
      <c r="C58" s="150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s="2" customFormat="1" ht="23.25" customHeight="1" x14ac:dyDescent="0.35">
      <c r="A59" s="95" t="s">
        <v>75</v>
      </c>
      <c r="B59" s="133" t="s">
        <v>50</v>
      </c>
      <c r="C59" s="13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s="2" customFormat="1" ht="48" customHeight="1" x14ac:dyDescent="0.35">
      <c r="A60" s="97" t="s">
        <v>117</v>
      </c>
      <c r="B60" s="133" t="s">
        <v>118</v>
      </c>
      <c r="C60" s="13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x14ac:dyDescent="0.35">
      <c r="A61" s="92" t="s">
        <v>27</v>
      </c>
      <c r="B61" s="133" t="s">
        <v>118</v>
      </c>
      <c r="C61" s="13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x14ac:dyDescent="0.35">
      <c r="A62" s="132" t="s">
        <v>28</v>
      </c>
      <c r="B62" s="132"/>
      <c r="C62" s="132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58.65" customHeight="1" x14ac:dyDescent="0.35">
      <c r="A63" s="130" t="s">
        <v>29</v>
      </c>
      <c r="B63" s="130"/>
      <c r="C63" s="130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56" x14ac:dyDescent="0.35">
      <c r="A64" s="92" t="s">
        <v>30</v>
      </c>
      <c r="B64" s="130" t="s">
        <v>149</v>
      </c>
      <c r="C64" s="130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68.25" customHeight="1" x14ac:dyDescent="0.35">
      <c r="A65" s="130" t="s">
        <v>65</v>
      </c>
      <c r="B65" s="130"/>
      <c r="C65" s="130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76.650000000000006" customHeight="1" x14ac:dyDescent="0.35">
      <c r="A66" s="130" t="s">
        <v>31</v>
      </c>
      <c r="B66" s="130"/>
      <c r="C66" s="130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5" customHeight="1" x14ac:dyDescent="0.35">
      <c r="A67" s="130" t="str">
        <f ca="1">CONCATENATE(E68,TEXT(D68,"ДД.ММ.ГГГГ"))</f>
        <v>Дата надання інформації: ДД.ММ.ГГГГ</v>
      </c>
      <c r="B67" s="130" t="str">
        <f ca="1">CONCATENATE(E69,TEXT(D69,"ДД.ММ.ГГГГ"))</f>
        <v>Ця інформація зберігає чинність та є актуальною до ДД.ММ.ГГГГ</v>
      </c>
      <c r="C67" s="130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x14ac:dyDescent="0.35">
      <c r="A68" s="130"/>
      <c r="B68" s="130"/>
      <c r="C68" s="130"/>
      <c r="D68" s="24">
        <f ca="1">TODAY()</f>
        <v>45602</v>
      </c>
      <c r="E68" s="10" t="s">
        <v>96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x14ac:dyDescent="0.35">
      <c r="A69" s="91"/>
      <c r="B69" s="130" t="s">
        <v>33</v>
      </c>
      <c r="C69" s="130"/>
      <c r="D69" s="24">
        <f ca="1">EDATE(D68,' '!D8)</f>
        <v>46697</v>
      </c>
      <c r="E69" s="129" t="s">
        <v>97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x14ac:dyDescent="0.35">
      <c r="A70" s="96" t="s">
        <v>32</v>
      </c>
      <c r="B70" s="130"/>
      <c r="C70" s="130"/>
      <c r="D70" s="10"/>
      <c r="E70" s="129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38.25" customHeight="1" x14ac:dyDescent="0.35">
      <c r="A71" s="130" t="s">
        <v>34</v>
      </c>
      <c r="B71" s="130"/>
      <c r="C71" s="130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76.650000000000006" customHeight="1" x14ac:dyDescent="0.35">
      <c r="A72" s="130" t="s">
        <v>35</v>
      </c>
      <c r="B72" s="130"/>
      <c r="C72" s="130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x14ac:dyDescent="0.35">
      <c r="A73" s="91"/>
      <c r="B73" s="130" t="s">
        <v>37</v>
      </c>
      <c r="C73" s="130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x14ac:dyDescent="0.35">
      <c r="A74" s="96" t="s">
        <v>36</v>
      </c>
      <c r="B74" s="130"/>
      <c r="C74" s="130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x14ac:dyDescent="0.35">
      <c r="A75" s="87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</sheetData>
  <mergeCells count="68">
    <mergeCell ref="A3:C3"/>
    <mergeCell ref="B73:C74"/>
    <mergeCell ref="A4:C4"/>
    <mergeCell ref="B61:C61"/>
    <mergeCell ref="A62:C62"/>
    <mergeCell ref="A63:C63"/>
    <mergeCell ref="B64:C64"/>
    <mergeCell ref="B59:C59"/>
    <mergeCell ref="B57:C57"/>
    <mergeCell ref="B58:C58"/>
    <mergeCell ref="B45:C45"/>
    <mergeCell ref="A46:C46"/>
    <mergeCell ref="A47:C47"/>
    <mergeCell ref="A48:C48"/>
    <mergeCell ref="A54:C54"/>
    <mergeCell ref="B37:C37"/>
    <mergeCell ref="B52:C52"/>
    <mergeCell ref="B50:C50"/>
    <mergeCell ref="B51:C51"/>
    <mergeCell ref="A41:C41"/>
    <mergeCell ref="B53:C53"/>
    <mergeCell ref="B34:C34"/>
    <mergeCell ref="B35:C35"/>
    <mergeCell ref="B36:C36"/>
    <mergeCell ref="B33:C33"/>
    <mergeCell ref="B49:C49"/>
    <mergeCell ref="B38:C38"/>
    <mergeCell ref="B39:C39"/>
    <mergeCell ref="B43:C43"/>
    <mergeCell ref="B44:C44"/>
    <mergeCell ref="B42:C42"/>
    <mergeCell ref="B28:C28"/>
    <mergeCell ref="B20:C20"/>
    <mergeCell ref="B29:C29"/>
    <mergeCell ref="B30:C31"/>
    <mergeCell ref="A32:C32"/>
    <mergeCell ref="A5:A7"/>
    <mergeCell ref="A8:A10"/>
    <mergeCell ref="A30:A31"/>
    <mergeCell ref="A25:A26"/>
    <mergeCell ref="B5:C7"/>
    <mergeCell ref="B11:C11"/>
    <mergeCell ref="B12:C12"/>
    <mergeCell ref="B13:C13"/>
    <mergeCell ref="B14:C14"/>
    <mergeCell ref="A15:C15"/>
    <mergeCell ref="A21:C21"/>
    <mergeCell ref="B22:C22"/>
    <mergeCell ref="B23:C23"/>
    <mergeCell ref="B24:C24"/>
    <mergeCell ref="B25:C26"/>
    <mergeCell ref="B27:C27"/>
    <mergeCell ref="E69:E70"/>
    <mergeCell ref="B69:C70"/>
    <mergeCell ref="A71:C71"/>
    <mergeCell ref="A72:C72"/>
    <mergeCell ref="B55:C55"/>
    <mergeCell ref="A56:C56"/>
    <mergeCell ref="A67:A68"/>
    <mergeCell ref="A65:C65"/>
    <mergeCell ref="A66:C66"/>
    <mergeCell ref="B67:C68"/>
    <mergeCell ref="B60:C60"/>
    <mergeCell ref="B8:C10"/>
    <mergeCell ref="B16:C16"/>
    <mergeCell ref="B17:C17"/>
    <mergeCell ref="B18:C18"/>
    <mergeCell ref="B19:C19"/>
  </mergeCells>
  <hyperlinks>
    <hyperlink ref="B13" r:id="rId1" xr:uid="{00000000-0004-0000-0000-000000000000}"/>
    <hyperlink ref="B14" r:id="rId2" xr:uid="{00000000-0004-0000-0000-000001000000}"/>
  </hyperlinks>
  <pageMargins left="0.7" right="0.7" top="0.75" bottom="0.75" header="0.3" footer="0.3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276"/>
  <sheetViews>
    <sheetView topLeftCell="A79" zoomScaleNormal="100" workbookViewId="0">
      <selection activeCell="C25" sqref="C25:C84"/>
    </sheetView>
  </sheetViews>
  <sheetFormatPr defaultColWidth="9.1796875" defaultRowHeight="14.5" x14ac:dyDescent="0.35"/>
  <cols>
    <col min="1" max="1" width="10.1796875" style="26" customWidth="1"/>
    <col min="2" max="2" width="14.54296875" style="26" customWidth="1"/>
    <col min="3" max="3" width="20.7265625" style="26" customWidth="1"/>
    <col min="4" max="4" width="12.26953125" style="26" customWidth="1"/>
    <col min="5" max="5" width="14.7265625" style="26" customWidth="1"/>
    <col min="6" max="6" width="14.26953125" style="26" customWidth="1"/>
    <col min="7" max="7" width="19.1796875" style="26" customWidth="1"/>
    <col min="8" max="8" width="22" style="26" customWidth="1"/>
    <col min="9" max="9" width="16.54296875" style="26" customWidth="1"/>
    <col min="10" max="10" width="13.453125" style="26" customWidth="1"/>
    <col min="11" max="11" width="12.1796875" style="26" customWidth="1"/>
    <col min="12" max="12" width="14.453125" style="26" customWidth="1"/>
    <col min="13" max="13" width="18.1796875" style="26" customWidth="1"/>
    <col min="14" max="14" width="13.1796875" style="26" customWidth="1"/>
    <col min="15" max="15" width="17.453125" style="26" customWidth="1"/>
    <col min="16" max="16" width="12.81640625" style="26" customWidth="1"/>
    <col min="17" max="17" width="13.54296875" style="26" customWidth="1"/>
    <col min="18" max="18" width="13.54296875" style="26" hidden="1" customWidth="1"/>
    <col min="19" max="21" width="9.1796875" style="26" hidden="1" customWidth="1"/>
    <col min="22" max="22" width="10.81640625" style="26" hidden="1" customWidth="1"/>
    <col min="23" max="24" width="9.1796875" style="26" hidden="1" customWidth="1"/>
    <col min="25" max="25" width="13" style="26" hidden="1" customWidth="1"/>
    <col min="26" max="26" width="11.54296875" style="26" hidden="1" customWidth="1"/>
    <col min="27" max="27" width="20.54296875" style="26" hidden="1" customWidth="1"/>
    <col min="28" max="29" width="9.1796875" style="26" hidden="1" customWidth="1"/>
    <col min="30" max="30" width="9.1796875" style="26" customWidth="1"/>
    <col min="31" max="16384" width="9.1796875" style="26"/>
  </cols>
  <sheetData>
    <row r="1" spans="1:29" ht="24.75" customHeight="1" x14ac:dyDescent="0.45">
      <c r="A1" s="165" t="s">
        <v>121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25"/>
      <c r="Y1" s="26" t="s">
        <v>90</v>
      </c>
      <c r="Z1" s="26" t="s">
        <v>91</v>
      </c>
    </row>
    <row r="2" spans="1:29" ht="15" x14ac:dyDescent="0.25">
      <c r="A2" s="27"/>
      <c r="B2" s="27"/>
      <c r="C2" s="28"/>
      <c r="D2" s="27"/>
      <c r="E2" s="27"/>
      <c r="F2" s="28"/>
      <c r="G2" s="29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X2" s="26">
        <v>1</v>
      </c>
      <c r="Y2" s="30">
        <f>O8+O10</f>
        <v>0</v>
      </c>
      <c r="Z2" s="30">
        <f>Y2-O8</f>
        <v>0</v>
      </c>
    </row>
    <row r="3" spans="1:29" x14ac:dyDescent="0.35">
      <c r="A3" s="27"/>
      <c r="B3" s="153" t="s">
        <v>105</v>
      </c>
      <c r="C3" s="153"/>
      <c r="D3" s="177">
        <f ca="1">'графік платежів'!C4</f>
        <v>45602</v>
      </c>
      <c r="E3" s="177"/>
      <c r="F3" s="177"/>
      <c r="G3" s="31"/>
      <c r="H3" s="184" t="s">
        <v>66</v>
      </c>
      <c r="I3" s="184"/>
      <c r="J3" s="184"/>
      <c r="K3" s="184"/>
      <c r="L3" s="184"/>
      <c r="M3" s="184"/>
      <c r="N3" s="185">
        <f>'графік платежів'!C9</f>
        <v>2.5000000000000001E-2</v>
      </c>
      <c r="O3" s="185"/>
      <c r="P3" s="32">
        <f>N3</f>
        <v>2.5000000000000001E-2</v>
      </c>
      <c r="Q3" s="27"/>
      <c r="R3" s="27"/>
      <c r="X3" s="33">
        <v>2</v>
      </c>
      <c r="Y3" s="34">
        <f ca="1">IF($D$8&gt;12,K37,0)</f>
        <v>0</v>
      </c>
      <c r="Z3" s="30">
        <f ca="1">IF(Y3&gt;0,$Z$2,0)</f>
        <v>0</v>
      </c>
    </row>
    <row r="4" spans="1:29" x14ac:dyDescent="0.35">
      <c r="A4" s="27"/>
      <c r="B4" s="166" t="s">
        <v>120</v>
      </c>
      <c r="C4" s="167"/>
      <c r="D4" s="170">
        <v>1000000</v>
      </c>
      <c r="E4" s="170"/>
      <c r="F4" s="170"/>
      <c r="G4" s="35"/>
      <c r="H4" s="186" t="s">
        <v>49</v>
      </c>
      <c r="I4" s="186"/>
      <c r="J4" s="186"/>
      <c r="K4" s="186"/>
      <c r="L4" s="186"/>
      <c r="M4" s="186"/>
      <c r="N4" s="187">
        <f>N3*D6</f>
        <v>6250</v>
      </c>
      <c r="O4" s="187"/>
      <c r="P4" s="36">
        <f>D6*P3</f>
        <v>6250</v>
      </c>
      <c r="Q4" s="27"/>
      <c r="R4" s="27"/>
      <c r="X4" s="33">
        <v>3</v>
      </c>
      <c r="Y4" s="34">
        <f ca="1">IF($D$8&gt;24,K49,0)</f>
        <v>0</v>
      </c>
      <c r="Z4" s="30">
        <f t="shared" ref="Z4:Z21" ca="1" si="0">IF(Y4&gt;0,$Z$2,0)</f>
        <v>0</v>
      </c>
    </row>
    <row r="5" spans="1:29" ht="25.5" customHeight="1" x14ac:dyDescent="0.35">
      <c r="A5" s="27"/>
      <c r="B5" s="168"/>
      <c r="C5" s="169"/>
      <c r="D5" s="171"/>
      <c r="E5" s="171"/>
      <c r="F5" s="171"/>
      <c r="G5" s="37"/>
      <c r="H5" s="38" t="s">
        <v>63</v>
      </c>
      <c r="I5" s="39"/>
      <c r="J5" s="39"/>
      <c r="K5" s="39"/>
      <c r="L5" s="39"/>
      <c r="M5" s="39"/>
      <c r="N5" s="185">
        <f>'графік платежів'!C8</f>
        <v>5.0000000000000001E-3</v>
      </c>
      <c r="O5" s="185"/>
      <c r="P5" s="40">
        <v>0</v>
      </c>
      <c r="Q5" s="27"/>
      <c r="R5" s="27"/>
      <c r="X5" s="33">
        <v>4</v>
      </c>
      <c r="Y5" s="34">
        <f>IF($D$8&gt;36,K61,0)</f>
        <v>0</v>
      </c>
      <c r="Z5" s="30">
        <f t="shared" si="0"/>
        <v>0</v>
      </c>
    </row>
    <row r="6" spans="1:29" x14ac:dyDescent="0.35">
      <c r="A6" s="27"/>
      <c r="B6" s="172" t="s">
        <v>40</v>
      </c>
      <c r="C6" s="173"/>
      <c r="D6" s="170">
        <f>'графік платежів'!C5</f>
        <v>250000</v>
      </c>
      <c r="E6" s="170"/>
      <c r="F6" s="170"/>
      <c r="G6" s="5"/>
      <c r="H6" s="163" t="s">
        <v>79</v>
      </c>
      <c r="I6" s="188" t="s">
        <v>85</v>
      </c>
      <c r="J6" s="188"/>
      <c r="K6" s="188"/>
      <c r="L6" s="188"/>
      <c r="M6" s="188"/>
      <c r="N6" s="188"/>
      <c r="O6" s="188"/>
      <c r="P6" s="41"/>
      <c r="Q6" s="27"/>
      <c r="R6" s="27"/>
      <c r="X6" s="33">
        <v>5</v>
      </c>
      <c r="Y6" s="34">
        <f>IF($D$8&gt;48,K73,0)</f>
        <v>0</v>
      </c>
      <c r="Z6" s="30">
        <f t="shared" si="0"/>
        <v>0</v>
      </c>
    </row>
    <row r="7" spans="1:29" ht="28.5" customHeight="1" x14ac:dyDescent="0.35">
      <c r="A7" s="27"/>
      <c r="B7" s="174"/>
      <c r="C7" s="175"/>
      <c r="D7" s="171"/>
      <c r="E7" s="171"/>
      <c r="F7" s="171"/>
      <c r="G7" s="42"/>
      <c r="H7" s="164"/>
      <c r="I7" s="159" t="s">
        <v>86</v>
      </c>
      <c r="J7" s="160"/>
      <c r="K7" s="160"/>
      <c r="L7" s="160"/>
      <c r="M7" s="160"/>
      <c r="N7" s="161">
        <f>'графік платежів'!G6</f>
        <v>0</v>
      </c>
      <c r="O7" s="162"/>
      <c r="P7" s="43">
        <f>N7</f>
        <v>0</v>
      </c>
      <c r="Q7" s="28"/>
      <c r="R7" s="28"/>
      <c r="X7" s="44">
        <v>6</v>
      </c>
      <c r="Y7" s="34">
        <f>IF($D$8&gt;60,K85,0)</f>
        <v>0</v>
      </c>
      <c r="Z7" s="30">
        <f t="shared" si="0"/>
        <v>0</v>
      </c>
      <c r="AA7" s="26" t="s">
        <v>58</v>
      </c>
    </row>
    <row r="8" spans="1:29" ht="19.5" customHeight="1" x14ac:dyDescent="0.35">
      <c r="A8" s="27"/>
      <c r="B8" s="156" t="s">
        <v>39</v>
      </c>
      <c r="C8" s="157"/>
      <c r="D8" s="178">
        <f>'графік платежів'!C6</f>
        <v>36</v>
      </c>
      <c r="E8" s="178"/>
      <c r="F8" s="178"/>
      <c r="G8" s="85" t="str">
        <f>IF(D8&gt;120,"Макс. строк- 60 міс."," ")</f>
        <v xml:space="preserve"> </v>
      </c>
      <c r="H8" s="164"/>
      <c r="I8" s="159" t="s">
        <v>107</v>
      </c>
      <c r="J8" s="160"/>
      <c r="K8" s="160"/>
      <c r="L8" s="160"/>
      <c r="M8" s="160"/>
      <c r="N8" s="77">
        <f>'графік платежів'!G8</f>
        <v>0</v>
      </c>
      <c r="O8" s="78">
        <f>N8*D4</f>
        <v>0</v>
      </c>
      <c r="P8" s="45">
        <f>P4</f>
        <v>6250</v>
      </c>
      <c r="Q8" s="46"/>
      <c r="R8" s="46"/>
      <c r="T8" s="26" t="s">
        <v>55</v>
      </c>
      <c r="X8" s="33">
        <v>7</v>
      </c>
      <c r="Y8" s="34">
        <f>IF($D$8&gt;72,K97,0)</f>
        <v>0</v>
      </c>
      <c r="Z8" s="30">
        <f t="shared" si="0"/>
        <v>0</v>
      </c>
      <c r="AA8" s="27" t="s">
        <v>59</v>
      </c>
      <c r="AB8" s="26" t="s">
        <v>53</v>
      </c>
      <c r="AC8" s="26">
        <v>1700</v>
      </c>
    </row>
    <row r="9" spans="1:29" ht="21" customHeight="1" x14ac:dyDescent="0.35">
      <c r="A9" s="27"/>
      <c r="B9" s="156" t="s">
        <v>38</v>
      </c>
      <c r="C9" s="157"/>
      <c r="D9" s="152">
        <f>'графік платежів'!C7</f>
        <v>0.25</v>
      </c>
      <c r="E9" s="152"/>
      <c r="F9" s="152"/>
      <c r="G9" s="98">
        <f>-PMT(D9/12,D8,D6)</f>
        <v>9939.9564753138802</v>
      </c>
      <c r="H9" s="164"/>
      <c r="I9" s="79" t="s">
        <v>87</v>
      </c>
      <c r="J9" s="80"/>
      <c r="K9" s="80"/>
      <c r="L9" s="80"/>
      <c r="M9" s="80"/>
      <c r="N9" s="161">
        <f>'графік платежів'!G7</f>
        <v>0</v>
      </c>
      <c r="O9" s="162"/>
      <c r="P9" s="41">
        <f>P5</f>
        <v>0</v>
      </c>
      <c r="Q9" s="28"/>
      <c r="R9" s="28"/>
      <c r="T9" s="26" t="s">
        <v>56</v>
      </c>
      <c r="X9" s="33">
        <v>8</v>
      </c>
      <c r="Y9" s="34">
        <f>IF($D$8&gt;84,K109,0)</f>
        <v>0</v>
      </c>
      <c r="Z9" s="30">
        <f t="shared" si="0"/>
        <v>0</v>
      </c>
    </row>
    <row r="10" spans="1:29" ht="18" customHeight="1" x14ac:dyDescent="0.35">
      <c r="A10" s="27"/>
      <c r="B10" s="156" t="s">
        <v>106</v>
      </c>
      <c r="C10" s="157"/>
      <c r="D10" s="158">
        <f ca="1">EDATE(D3,D8)</f>
        <v>46697</v>
      </c>
      <c r="E10" s="158"/>
      <c r="F10" s="158"/>
      <c r="G10" s="6"/>
      <c r="H10" s="164"/>
      <c r="I10" s="159" t="s">
        <v>108</v>
      </c>
      <c r="J10" s="160"/>
      <c r="K10" s="160"/>
      <c r="L10" s="160"/>
      <c r="M10" s="160"/>
      <c r="N10" s="77">
        <f>'графік платежів'!G5</f>
        <v>0</v>
      </c>
      <c r="O10" s="78">
        <f>N10*D6</f>
        <v>0</v>
      </c>
      <c r="P10" s="50"/>
      <c r="Q10" s="14"/>
      <c r="R10" s="14"/>
      <c r="S10" s="3"/>
      <c r="X10" s="33">
        <v>9</v>
      </c>
      <c r="Y10" s="34">
        <f>IF($D$8&gt;96,K121,0)</f>
        <v>0</v>
      </c>
      <c r="Z10" s="30">
        <f t="shared" si="0"/>
        <v>0</v>
      </c>
      <c r="AC10" s="26">
        <f>D4/AC8</f>
        <v>588.23529411764707</v>
      </c>
    </row>
    <row r="11" spans="1:29" ht="12.75" customHeight="1" x14ac:dyDescent="0.35">
      <c r="A11" s="27"/>
      <c r="B11" s="27"/>
      <c r="C11" s="51" t="s">
        <v>52</v>
      </c>
      <c r="D11" s="176"/>
      <c r="E11" s="176"/>
      <c r="F11" s="176"/>
      <c r="G11" s="14"/>
      <c r="H11" s="164"/>
      <c r="I11" s="79" t="s">
        <v>83</v>
      </c>
      <c r="J11" s="80"/>
      <c r="K11" s="80"/>
      <c r="L11" s="80"/>
      <c r="M11" s="80"/>
      <c r="N11" s="161">
        <v>0</v>
      </c>
      <c r="O11" s="162"/>
      <c r="P11" s="41"/>
      <c r="Q11" s="14"/>
      <c r="R11" s="14"/>
      <c r="S11" s="3"/>
      <c r="X11" s="33">
        <v>10</v>
      </c>
      <c r="Y11" s="34">
        <f>IF($D$8&gt;108,K133,0)</f>
        <v>0</v>
      </c>
      <c r="Z11" s="30">
        <f t="shared" si="0"/>
        <v>0</v>
      </c>
    </row>
    <row r="12" spans="1:29" ht="30" hidden="1" customHeight="1" x14ac:dyDescent="0.25">
      <c r="A12" s="27"/>
      <c r="B12" s="27"/>
      <c r="C12" s="51" t="s">
        <v>64</v>
      </c>
      <c r="D12" s="43"/>
      <c r="E12" s="47">
        <f>F12+F13</f>
        <v>0</v>
      </c>
      <c r="F12" s="43">
        <v>0</v>
      </c>
      <c r="G12" s="14"/>
      <c r="H12" s="20"/>
      <c r="I12" s="48"/>
      <c r="J12" s="49"/>
      <c r="K12" s="49"/>
      <c r="L12" s="49"/>
      <c r="M12" s="49"/>
      <c r="N12" s="189"/>
      <c r="O12" s="190"/>
      <c r="P12" s="45">
        <f>IF(M12="наявне",D6*D8*0.12%,0)</f>
        <v>0</v>
      </c>
      <c r="Q12" s="16"/>
      <c r="R12" s="14"/>
      <c r="S12" s="3"/>
      <c r="X12" s="33">
        <v>11</v>
      </c>
      <c r="Y12" s="34">
        <f>IF($D$8&gt;120,K145,0)</f>
        <v>0</v>
      </c>
      <c r="Z12" s="30">
        <f t="shared" si="0"/>
        <v>0</v>
      </c>
    </row>
    <row r="13" spans="1:29" ht="15.75" hidden="1" customHeight="1" x14ac:dyDescent="0.25">
      <c r="A13" s="52"/>
      <c r="B13" s="27"/>
      <c r="C13" s="51" t="s">
        <v>51</v>
      </c>
      <c r="D13" s="53"/>
      <c r="E13" s="53"/>
      <c r="F13" s="43">
        <v>0</v>
      </c>
      <c r="G13" s="13"/>
      <c r="H13" s="20"/>
      <c r="I13" s="48"/>
      <c r="J13" s="49"/>
      <c r="K13" s="49"/>
      <c r="L13" s="49"/>
      <c r="M13" s="49"/>
      <c r="N13" s="189"/>
      <c r="O13" s="190"/>
      <c r="P13" s="15"/>
      <c r="Q13" s="7"/>
      <c r="R13" s="7"/>
      <c r="S13" s="1"/>
      <c r="X13" s="33">
        <v>12</v>
      </c>
      <c r="Y13" s="34">
        <f>IF($D$8&gt;132,K157,0)</f>
        <v>0</v>
      </c>
      <c r="Z13" s="30">
        <f t="shared" si="0"/>
        <v>0</v>
      </c>
    </row>
    <row r="14" spans="1:29" ht="30" hidden="1" x14ac:dyDescent="0.25">
      <c r="A14" s="27"/>
      <c r="B14" s="27"/>
      <c r="C14" s="54" t="s">
        <v>93</v>
      </c>
      <c r="D14" s="32"/>
      <c r="E14" s="55"/>
      <c r="F14" s="32">
        <v>0.1699</v>
      </c>
      <c r="G14" s="7"/>
      <c r="H14" s="56" t="s">
        <v>88</v>
      </c>
      <c r="I14" s="57"/>
      <c r="J14" s="57"/>
      <c r="K14" s="57"/>
      <c r="L14" s="58"/>
      <c r="M14" s="59" t="s">
        <v>89</v>
      </c>
      <c r="N14" s="191">
        <v>0</v>
      </c>
      <c r="O14" s="191"/>
      <c r="P14" s="7"/>
      <c r="Q14" s="7"/>
      <c r="R14" s="7"/>
      <c r="S14" s="1"/>
      <c r="X14" s="33">
        <v>13</v>
      </c>
      <c r="Y14" s="34">
        <f>IF($D$8&gt;144,K169,0)</f>
        <v>0</v>
      </c>
      <c r="Z14" s="30">
        <f t="shared" si="0"/>
        <v>0</v>
      </c>
    </row>
    <row r="15" spans="1:29" ht="31.65" hidden="1" customHeight="1" x14ac:dyDescent="0.25">
      <c r="A15" s="27"/>
      <c r="B15" s="27"/>
      <c r="C15" s="54" t="s">
        <v>93</v>
      </c>
      <c r="D15" s="43"/>
      <c r="E15" s="53"/>
      <c r="F15" s="43">
        <v>0.1699</v>
      </c>
      <c r="G15" s="6"/>
      <c r="H15" s="19"/>
      <c r="I15" s="19"/>
      <c r="J15" s="19"/>
      <c r="K15" s="19"/>
      <c r="L15" s="19"/>
      <c r="M15" s="6"/>
      <c r="N15" s="6"/>
      <c r="O15" s="6"/>
      <c r="P15" s="60"/>
      <c r="Q15" s="6"/>
      <c r="R15" s="6"/>
      <c r="S15" s="3"/>
      <c r="X15" s="33">
        <v>14</v>
      </c>
      <c r="Y15" s="34">
        <f>IF($D$8&gt;156,K181,0)</f>
        <v>0</v>
      </c>
      <c r="Z15" s="30">
        <f t="shared" si="0"/>
        <v>0</v>
      </c>
      <c r="AC15" s="26" t="str">
        <f>IF(AC10&lt;165,"3%",IF(AC10&gt;290,"5%","4%"))</f>
        <v>5%</v>
      </c>
    </row>
    <row r="16" spans="1:29" ht="15" hidden="1" x14ac:dyDescent="0.25">
      <c r="A16" s="27"/>
      <c r="B16" s="27"/>
      <c r="C16" s="61"/>
      <c r="D16" s="61"/>
      <c r="E16" s="61"/>
      <c r="F16" s="62"/>
      <c r="G16" s="6"/>
      <c r="H16" s="19"/>
      <c r="I16" s="19"/>
      <c r="J16" s="19"/>
      <c r="K16" s="19"/>
      <c r="L16" s="19"/>
      <c r="M16" s="6"/>
      <c r="N16" s="6"/>
      <c r="O16" s="6"/>
      <c r="P16" s="60"/>
      <c r="Q16" s="6"/>
      <c r="R16" s="6"/>
      <c r="S16" s="3"/>
      <c r="X16" s="33">
        <v>15</v>
      </c>
      <c r="Y16" s="34">
        <f>IF($D$8&gt;168,K193,0)</f>
        <v>0</v>
      </c>
      <c r="Z16" s="30">
        <f t="shared" si="0"/>
        <v>0</v>
      </c>
    </row>
    <row r="17" spans="1:26" ht="15" hidden="1" x14ac:dyDescent="0.25">
      <c r="A17" s="27"/>
      <c r="B17" s="27"/>
      <c r="C17" s="61"/>
      <c r="D17" s="61"/>
      <c r="E17" s="61"/>
      <c r="F17" s="62"/>
      <c r="G17" s="6"/>
      <c r="H17" s="19"/>
      <c r="I17" s="19"/>
      <c r="J17" s="19"/>
      <c r="K17" s="19"/>
      <c r="L17" s="19"/>
      <c r="M17" s="6"/>
      <c r="N17" s="6"/>
      <c r="O17" s="6"/>
      <c r="P17" s="60"/>
      <c r="Q17" s="6"/>
      <c r="R17" s="6"/>
      <c r="S17" s="3"/>
      <c r="X17" s="33">
        <v>16</v>
      </c>
      <c r="Y17" s="34">
        <f>IF($D$8&gt;180,K205,0)</f>
        <v>0</v>
      </c>
      <c r="Z17" s="30">
        <f t="shared" si="0"/>
        <v>0</v>
      </c>
    </row>
    <row r="18" spans="1:26" ht="15" hidden="1" x14ac:dyDescent="0.25">
      <c r="A18" s="27"/>
      <c r="B18" s="27"/>
      <c r="C18" s="61"/>
      <c r="D18" s="61"/>
      <c r="E18" s="61"/>
      <c r="F18" s="62"/>
      <c r="G18" s="6"/>
      <c r="H18" s="19"/>
      <c r="I18" s="19"/>
      <c r="J18" s="19"/>
      <c r="K18" s="19"/>
      <c r="L18" s="19"/>
      <c r="M18" s="6"/>
      <c r="N18" s="6"/>
      <c r="O18" s="6"/>
      <c r="P18" s="60"/>
      <c r="Q18" s="6"/>
      <c r="R18" s="6"/>
      <c r="S18" s="3"/>
      <c r="X18" s="33">
        <v>17</v>
      </c>
      <c r="Y18" s="34">
        <f>IF($D$8&gt;192,K217,0)</f>
        <v>0</v>
      </c>
      <c r="Z18" s="30">
        <f t="shared" si="0"/>
        <v>0</v>
      </c>
    </row>
    <row r="19" spans="1:26" ht="15" hidden="1" x14ac:dyDescent="0.25">
      <c r="A19" s="27"/>
      <c r="B19" s="27"/>
      <c r="C19" s="61"/>
      <c r="D19" s="61"/>
      <c r="E19" s="61"/>
      <c r="F19" s="62"/>
      <c r="G19" s="6"/>
      <c r="H19" s="19"/>
      <c r="I19" s="19"/>
      <c r="J19" s="19"/>
      <c r="K19" s="19"/>
      <c r="L19" s="19"/>
      <c r="M19" s="6"/>
      <c r="N19" s="6"/>
      <c r="O19" s="6"/>
      <c r="P19" s="60"/>
      <c r="Q19" s="6"/>
      <c r="R19" s="6"/>
      <c r="S19" s="3"/>
      <c r="X19" s="33">
        <v>18</v>
      </c>
      <c r="Y19" s="34">
        <f>IF($D$8&gt;204,K229,0)</f>
        <v>0</v>
      </c>
      <c r="Z19" s="30">
        <f t="shared" si="0"/>
        <v>0</v>
      </c>
    </row>
    <row r="20" spans="1:26" ht="15" hidden="1" x14ac:dyDescent="0.25">
      <c r="A20" s="27"/>
      <c r="B20" s="27"/>
      <c r="C20" s="61"/>
      <c r="D20" s="61"/>
      <c r="E20" s="61"/>
      <c r="F20" s="62"/>
      <c r="G20" s="6"/>
      <c r="H20" s="19"/>
      <c r="I20" s="19"/>
      <c r="J20" s="19"/>
      <c r="K20" s="19"/>
      <c r="L20" s="19"/>
      <c r="M20" s="6"/>
      <c r="N20" s="6"/>
      <c r="O20" s="6"/>
      <c r="P20" s="60"/>
      <c r="Q20" s="6"/>
      <c r="R20" s="6"/>
      <c r="S20" s="3"/>
      <c r="X20" s="33">
        <v>19</v>
      </c>
      <c r="Y20" s="34">
        <f>IF($D$8&gt;216,K241,0)</f>
        <v>0</v>
      </c>
      <c r="Z20" s="30">
        <f t="shared" si="0"/>
        <v>0</v>
      </c>
    </row>
    <row r="21" spans="1:26" ht="18.75" customHeight="1" x14ac:dyDescent="0.25">
      <c r="A21" s="63"/>
      <c r="B21" s="27"/>
      <c r="C21" s="63"/>
      <c r="D21" s="63"/>
      <c r="E21" s="27"/>
      <c r="F21" s="27"/>
      <c r="G21" s="11"/>
      <c r="H21" s="12"/>
      <c r="I21" s="11"/>
      <c r="J21" s="11"/>
      <c r="K21" s="11"/>
      <c r="L21" s="11"/>
      <c r="M21" s="11"/>
      <c r="N21" s="11"/>
      <c r="O21" s="11"/>
      <c r="P21" s="12"/>
      <c r="Q21" s="7"/>
      <c r="R21" s="7"/>
      <c r="S21" s="1"/>
      <c r="X21" s="33">
        <v>20</v>
      </c>
      <c r="Y21" s="34">
        <f>IF($D$8&gt;228,K253,0)</f>
        <v>0</v>
      </c>
      <c r="Z21" s="30">
        <f t="shared" si="0"/>
        <v>0</v>
      </c>
    </row>
    <row r="22" spans="1:26" ht="23.25" customHeight="1" x14ac:dyDescent="0.35">
      <c r="A22" s="154" t="s">
        <v>41</v>
      </c>
      <c r="B22" s="81" t="s">
        <v>42</v>
      </c>
      <c r="C22" s="154" t="s">
        <v>42</v>
      </c>
      <c r="D22" s="82" t="s">
        <v>43</v>
      </c>
      <c r="E22" s="154" t="s">
        <v>44</v>
      </c>
      <c r="F22" s="154" t="s">
        <v>45</v>
      </c>
      <c r="G22" s="154" t="s">
        <v>46</v>
      </c>
      <c r="H22" s="154" t="s">
        <v>47</v>
      </c>
      <c r="I22" s="181" t="s">
        <v>79</v>
      </c>
      <c r="J22" s="182"/>
      <c r="K22" s="182"/>
      <c r="L22" s="183"/>
      <c r="M22" s="154" t="s">
        <v>48</v>
      </c>
      <c r="N22" s="154" t="s">
        <v>84</v>
      </c>
      <c r="O22" s="154" t="s">
        <v>122</v>
      </c>
      <c r="P22" s="154" t="s">
        <v>61</v>
      </c>
      <c r="Q22" s="154" t="s">
        <v>60</v>
      </c>
      <c r="R22" s="179" t="s">
        <v>92</v>
      </c>
      <c r="S22" s="1"/>
      <c r="Y22" s="30">
        <f ca="1">SUM(Y2:Y21)</f>
        <v>0</v>
      </c>
      <c r="Z22" s="30">
        <f ca="1">SUM(Z2:Z21)</f>
        <v>0</v>
      </c>
    </row>
    <row r="23" spans="1:26" ht="22.65" customHeight="1" x14ac:dyDescent="0.35">
      <c r="A23" s="155"/>
      <c r="B23" s="83"/>
      <c r="C23" s="155"/>
      <c r="D23" s="84"/>
      <c r="E23" s="155"/>
      <c r="F23" s="155"/>
      <c r="G23" s="155"/>
      <c r="H23" s="155"/>
      <c r="I23" s="83" t="s">
        <v>80</v>
      </c>
      <c r="J23" s="83" t="s">
        <v>81</v>
      </c>
      <c r="K23" s="83" t="s">
        <v>82</v>
      </c>
      <c r="L23" s="83" t="s">
        <v>83</v>
      </c>
      <c r="M23" s="155"/>
      <c r="N23" s="155"/>
      <c r="O23" s="155"/>
      <c r="P23" s="155"/>
      <c r="Q23" s="155"/>
      <c r="R23" s="180"/>
      <c r="S23" s="1"/>
    </row>
    <row r="24" spans="1:26" ht="12" customHeight="1" x14ac:dyDescent="0.25">
      <c r="A24" s="9"/>
      <c r="B24" s="64">
        <f ca="1">D3</f>
        <v>45602</v>
      </c>
      <c r="C24" s="64">
        <f ca="1">IF(A24&gt;$D$8,"",B24)</f>
        <v>45602</v>
      </c>
      <c r="D24" s="9"/>
      <c r="E24" s="65">
        <f>D6</f>
        <v>250000</v>
      </c>
      <c r="F24" s="9"/>
      <c r="G24" s="9"/>
      <c r="H24" s="106">
        <f>-E24+I24+J24+K24+L24+M24+N24+O24</f>
        <v>-243750</v>
      </c>
      <c r="I24" s="66">
        <f>P7</f>
        <v>0</v>
      </c>
      <c r="J24" s="66">
        <f>$N$9</f>
        <v>0</v>
      </c>
      <c r="K24" s="66">
        <f>O8+O10</f>
        <v>0</v>
      </c>
      <c r="L24" s="66">
        <f>N11</f>
        <v>0</v>
      </c>
      <c r="M24" s="65">
        <f>P8</f>
        <v>6250</v>
      </c>
      <c r="N24" s="65">
        <f>N14</f>
        <v>0</v>
      </c>
      <c r="O24" s="105"/>
      <c r="P24" s="21" t="s">
        <v>144</v>
      </c>
      <c r="Q24" s="22" t="s">
        <v>144</v>
      </c>
      <c r="R24" s="65">
        <f>H24</f>
        <v>-243750</v>
      </c>
      <c r="S24" s="8"/>
      <c r="T24" s="67">
        <f ca="1">T25</f>
        <v>366</v>
      </c>
      <c r="U24" s="67"/>
      <c r="V24" s="67"/>
      <c r="W24" s="67"/>
      <c r="X24" s="67"/>
    </row>
    <row r="25" spans="1:26" x14ac:dyDescent="0.35">
      <c r="A25" s="68">
        <v>1</v>
      </c>
      <c r="B25" s="64">
        <f ca="1">EDATE($B$24,A25)</f>
        <v>45632</v>
      </c>
      <c r="C25" s="64">
        <f ca="1">IF(A25&gt;$D$8,"",B25-DAY(B25)+10)</f>
        <v>45636</v>
      </c>
      <c r="D25" s="68">
        <f t="shared" ref="D25:D36" ca="1" si="1">B25-B24</f>
        <v>30</v>
      </c>
      <c r="E25" s="65">
        <f ca="1">E24-F25</f>
        <v>245182.99352468611</v>
      </c>
      <c r="F25" s="65">
        <f ca="1">IF(AND(A24="",A26=""),"",IF(A25="",ROUND(SUM($F24:F$25),2),IF(A25=$D$8,$E$24-ROUND(SUM($F24:F$25),2),($G$9-G25))))</f>
        <v>4817.0064753138804</v>
      </c>
      <c r="G25" s="65">
        <f ca="1">IF(T25&lt;&gt;T24,ROUND(SUM(V25*$D$9*E24/T25,W25*$D$9*E24/T24),2),ROUND(E24*$D$9*D25/T24,2))</f>
        <v>5122.95</v>
      </c>
      <c r="H25" s="65">
        <f ca="1">IF(A24=$D$8,SUM($H24:H$25),IF(A24&gt;$D$8,"",F25+G25+O25))</f>
        <v>11189.95647531388</v>
      </c>
      <c r="I25" s="69" t="s">
        <v>144</v>
      </c>
      <c r="J25" s="69" t="s">
        <v>144</v>
      </c>
      <c r="K25" s="69" t="s">
        <v>144</v>
      </c>
      <c r="L25" s="69"/>
      <c r="M25" s="68" t="s">
        <v>144</v>
      </c>
      <c r="N25" s="68"/>
      <c r="O25" s="65">
        <f>IF(A24=$D$8,SUM($O24:O$25),IF(A24&gt;$D$8," ",$N$5*$D$6))</f>
        <v>1250</v>
      </c>
      <c r="P25" s="70" t="str">
        <f>IF(A24=$D$8,XIRR(H$24:H24,C$24:C24),"")</f>
        <v/>
      </c>
      <c r="Q25" s="71" t="s">
        <v>144</v>
      </c>
      <c r="R25" s="65">
        <f ca="1">SUM(H25:Q25)</f>
        <v>12439.95647531388</v>
      </c>
      <c r="S25" s="67">
        <f ca="1">IF(C25="","",YEAR(C25))</f>
        <v>2024</v>
      </c>
      <c r="T25" s="67">
        <f ca="1">IF(OR(S25=2024,S25=2028,S25=2016,S25=2020,S25=2024,S25=2028,S25=2032,S25=2036,S25=2040),366,365)</f>
        <v>366</v>
      </c>
      <c r="U25" s="67">
        <f ca="1">IF(C25="","",DAY(C25))</f>
        <v>10</v>
      </c>
      <c r="V25" s="72">
        <f ca="1">U25-1</f>
        <v>9</v>
      </c>
      <c r="W25" s="73">
        <f ca="1">D25-V25</f>
        <v>21</v>
      </c>
      <c r="X25" s="67"/>
    </row>
    <row r="26" spans="1:26" x14ac:dyDescent="0.35">
      <c r="A26" s="68">
        <f t="shared" ref="A26:A89" si="2">IF(A25&lt;$D$8,A25+1,"")</f>
        <v>2</v>
      </c>
      <c r="B26" s="64">
        <f t="shared" ref="B26" ca="1" si="3">EDATE($B$24,A26)</f>
        <v>45663</v>
      </c>
      <c r="C26" s="64">
        <f t="shared" ref="C26:C84" ca="1" si="4">IF(A26&gt;$D$8,"",B26-DAY(B26)+10)</f>
        <v>45667</v>
      </c>
      <c r="D26" s="68">
        <f t="shared" ca="1" si="1"/>
        <v>31</v>
      </c>
      <c r="E26" s="65">
        <f ca="1">E25-F26</f>
        <v>240438.88704937222</v>
      </c>
      <c r="F26" s="65">
        <f ca="1">IF(AND(A25="",A27=""),"",IF(A26="",ROUND(SUM($F25:F$25),2),IF(A26=$D$8,$E$24-ROUND(SUM($F25:F$25),2),($G$9-G26))))</f>
        <v>4744.1064753138799</v>
      </c>
      <c r="G26" s="65">
        <f ca="1">IF(A25=$D$8,ROUND(SUM($G$25:G25),2),IF(A26&gt;$D$8,"",IF(T26&lt;&gt;T25,ROUND(SUM(V26*$D$9*E25/T26,W26*$D$9*E25/T25),2),ROUND(E25*$D$9*D26/T25,2))))</f>
        <v>5195.8500000000004</v>
      </c>
      <c r="H26" s="65">
        <f ca="1">IF(A25=$D$8,SUM($H$25:H25),IF(A25&gt;$D$8,"",F26+G26+O26))</f>
        <v>11189.95647531388</v>
      </c>
      <c r="I26" s="74" t="s">
        <v>144</v>
      </c>
      <c r="J26" s="74"/>
      <c r="K26" s="74" t="s">
        <v>144</v>
      </c>
      <c r="L26" s="74"/>
      <c r="M26" s="68" t="s">
        <v>144</v>
      </c>
      <c r="N26" s="68"/>
      <c r="O26" s="65">
        <f>IF(A25=$D$8,SUM($O$25:O25),IF(A25&gt;$D$8," ",$N$5*$D$6))</f>
        <v>1250</v>
      </c>
      <c r="P26" s="70" t="str">
        <f>IF(A25=$D$8,XIRR(H$24:H25,C$24:C25),"")</f>
        <v/>
      </c>
      <c r="Q26" s="71" t="s">
        <v>144</v>
      </c>
      <c r="R26" s="65">
        <f t="shared" ref="R26:R89" ca="1" si="5">SUM(H26:Q26)</f>
        <v>12439.95647531388</v>
      </c>
      <c r="S26" s="67">
        <f t="shared" ref="S26:S89" ca="1" si="6">IF(C26="","",YEAR(C26))</f>
        <v>2025</v>
      </c>
      <c r="T26" s="67">
        <f t="shared" ref="T26:T89" ca="1" si="7">IF(OR(S26=2024,S26=2028,S26=2016,S26=2020,S26=2024,S26=2028,S26=2032,S26=2036,S26=2040),366,365)</f>
        <v>365</v>
      </c>
      <c r="U26" s="67">
        <f t="shared" ref="U26:U84" ca="1" si="8">IF(C26="","",DAY(C26))</f>
        <v>10</v>
      </c>
      <c r="V26" s="72">
        <f t="shared" ref="V26:V84" ca="1" si="9">U26-1</f>
        <v>9</v>
      </c>
      <c r="W26" s="73">
        <f t="shared" ref="W26:W84" ca="1" si="10">D26-V26</f>
        <v>22</v>
      </c>
      <c r="X26" s="67"/>
    </row>
    <row r="27" spans="1:26" x14ac:dyDescent="0.35">
      <c r="A27" s="68">
        <f t="shared" si="2"/>
        <v>3</v>
      </c>
      <c r="B27" s="64">
        <f t="shared" ref="B27:B36" ca="1" si="11">IF(A27="","",EDATE($B$24,A27))</f>
        <v>45694</v>
      </c>
      <c r="C27" s="64">
        <f t="shared" ca="1" si="4"/>
        <v>45698</v>
      </c>
      <c r="D27" s="68">
        <f t="shared" ca="1" si="1"/>
        <v>31</v>
      </c>
      <c r="E27" s="65">
        <f t="shared" ref="E27:E36" ca="1" si="12">E26-F27</f>
        <v>235604.14057405834</v>
      </c>
      <c r="F27" s="65">
        <f ca="1">IF(AND(A26="",A28=""),"",IF(A27="",ROUND(SUM($F$25:F26),2),IF(A27=$D$8,$E$24-ROUND(SUM($F$25:F26),2),($G$9-G27))))</f>
        <v>4834.7464753138802</v>
      </c>
      <c r="G27" s="65">
        <f ca="1">IF(A26=$D$8,ROUND(SUM($G$25:G26),2),IF(A27&gt;$D$8,"",IF(T27&lt;&gt;T26,ROUND(SUM(V27*$D$9*E26/T27,W27*$D$9*E26/T26),2),ROUND(E26*$D$9*D27/T26,2))))</f>
        <v>5105.21</v>
      </c>
      <c r="H27" s="65">
        <f ca="1">IF(A26=$D$8,SUM($H$25:H26),IF(A26&gt;$D$8,"",F27+G27+O27))</f>
        <v>11189.95647531388</v>
      </c>
      <c r="I27" s="74" t="s">
        <v>144</v>
      </c>
      <c r="J27" s="74"/>
      <c r="K27" s="74" t="s">
        <v>144</v>
      </c>
      <c r="L27" s="74"/>
      <c r="M27" s="68" t="s">
        <v>144</v>
      </c>
      <c r="N27" s="68"/>
      <c r="O27" s="65">
        <f>IF(A26=$D$8,SUM($O$25:O26),IF(A26&gt;$D$8," ",$N$5*$D$6))</f>
        <v>1250</v>
      </c>
      <c r="P27" s="70" t="str">
        <f>IF(A26=$D$8,XIRR(H$24:H26,C$24:C26),"")</f>
        <v/>
      </c>
      <c r="Q27" s="74" t="str">
        <f t="shared" ref="Q27:Q90" si="13">IF(A26=$D$8,G27+M27+F27+I27+J27+K27+L27+N27+O27,"")</f>
        <v/>
      </c>
      <c r="R27" s="65">
        <f t="shared" ca="1" si="5"/>
        <v>12439.95647531388</v>
      </c>
      <c r="S27" s="67">
        <f t="shared" ca="1" si="6"/>
        <v>2025</v>
      </c>
      <c r="T27" s="67">
        <f t="shared" ca="1" si="7"/>
        <v>365</v>
      </c>
      <c r="U27" s="67">
        <f t="shared" ca="1" si="8"/>
        <v>10</v>
      </c>
      <c r="V27" s="72">
        <f t="shared" ca="1" si="9"/>
        <v>9</v>
      </c>
      <c r="W27" s="73">
        <f t="shared" ca="1" si="10"/>
        <v>22</v>
      </c>
      <c r="X27" s="67"/>
    </row>
    <row r="28" spans="1:26" x14ac:dyDescent="0.35">
      <c r="A28" s="68">
        <f t="shared" si="2"/>
        <v>4</v>
      </c>
      <c r="B28" s="64">
        <f t="shared" ca="1" si="11"/>
        <v>45722</v>
      </c>
      <c r="C28" s="64">
        <f t="shared" ca="1" si="4"/>
        <v>45726</v>
      </c>
      <c r="D28" s="68">
        <f t="shared" ca="1" si="1"/>
        <v>28</v>
      </c>
      <c r="E28" s="65">
        <f t="shared" ca="1" si="12"/>
        <v>230182.62409874448</v>
      </c>
      <c r="F28" s="65">
        <f ca="1">IF(AND(A27="",A29=""),"",IF(A28="",ROUND(SUM($F$25:F27),2),IF(A28=$D$8,$E$24-ROUND(SUM($F$25:F27),2),($G$9-G28))))</f>
        <v>5421.5164753138806</v>
      </c>
      <c r="G28" s="65">
        <f ca="1">IF(A27=$D$8,ROUND(SUM($G$25:G27),2),IF(A28&gt;$D$8,"",IF(T28&lt;&gt;T27,ROUND(SUM(V28*$D$9*E27/T28,W28*$D$9*E27/T27),2),ROUND(E27*$D$9*D28/T27,2))))</f>
        <v>4518.4399999999996</v>
      </c>
      <c r="H28" s="65">
        <f ca="1">IF(A27=$D$8,SUM($H$25:H27),IF(A27&gt;$D$8,"",F28+G28+O28))</f>
        <v>11189.95647531388</v>
      </c>
      <c r="I28" s="74" t="s">
        <v>144</v>
      </c>
      <c r="J28" s="74"/>
      <c r="K28" s="74" t="s">
        <v>144</v>
      </c>
      <c r="L28" s="74"/>
      <c r="M28" s="65" t="s">
        <v>144</v>
      </c>
      <c r="N28" s="65"/>
      <c r="O28" s="65">
        <f>IF(A27=$D$8,SUM($O$25:O27),IF(A27&gt;$D$8," ",$N$5*$D$6))</f>
        <v>1250</v>
      </c>
      <c r="P28" s="70" t="str">
        <f>IF(A27=$D$8,XIRR(H$24:H27,C$24:C27),"")</f>
        <v/>
      </c>
      <c r="Q28" s="74" t="str">
        <f t="shared" si="13"/>
        <v/>
      </c>
      <c r="R28" s="65">
        <f t="shared" ca="1" si="5"/>
        <v>12439.95647531388</v>
      </c>
      <c r="S28" s="67">
        <f t="shared" ca="1" si="6"/>
        <v>2025</v>
      </c>
      <c r="T28" s="67">
        <f t="shared" ca="1" si="7"/>
        <v>365</v>
      </c>
      <c r="U28" s="67">
        <f t="shared" ca="1" si="8"/>
        <v>10</v>
      </c>
      <c r="V28" s="72">
        <f t="shared" ca="1" si="9"/>
        <v>9</v>
      </c>
      <c r="W28" s="73">
        <f t="shared" ca="1" si="10"/>
        <v>19</v>
      </c>
      <c r="X28" s="67"/>
    </row>
    <row r="29" spans="1:26" x14ac:dyDescent="0.35">
      <c r="A29" s="68">
        <f t="shared" si="2"/>
        <v>5</v>
      </c>
      <c r="B29" s="64">
        <f t="shared" ca="1" si="11"/>
        <v>45753</v>
      </c>
      <c r="C29" s="64">
        <f t="shared" ca="1" si="4"/>
        <v>45757</v>
      </c>
      <c r="D29" s="68">
        <f t="shared" ca="1" si="1"/>
        <v>31</v>
      </c>
      <c r="E29" s="65">
        <f t="shared" ca="1" si="12"/>
        <v>225130.10762343061</v>
      </c>
      <c r="F29" s="65">
        <f ca="1">IF(AND(A28="",A30=""),"",IF(A29="",ROUND(SUM($F$25:F28),2),IF(A29=$D$8,$E$24-ROUND(SUM($F$25:F28),2),($G$9-G29))))</f>
        <v>5052.5164753138806</v>
      </c>
      <c r="G29" s="65">
        <f ca="1">IF(A28=$D$8,ROUND(SUM($G$25:G28),2),IF(A29&gt;$D$8,"",IF(T29&lt;&gt;T28,ROUND(SUM(V29*$D$9*E28/T29,W29*$D$9*E28/T28),2),ROUND(E28*$D$9*D29/T28,2))))</f>
        <v>4887.4399999999996</v>
      </c>
      <c r="H29" s="65">
        <f ca="1">IF(A28=$D$8,SUM($H$25:H28),IF(A28&gt;$D$8,"",F29+G29+O29))</f>
        <v>11189.95647531388</v>
      </c>
      <c r="I29" s="74" t="str">
        <f>IF(A29="",$I$24,"")</f>
        <v/>
      </c>
      <c r="J29" s="74" t="str">
        <f>IF(A29="",$J$24,"")</f>
        <v/>
      </c>
      <c r="K29" s="74" t="s">
        <v>144</v>
      </c>
      <c r="L29" s="74" t="str">
        <f>IF(A29="",$L$29,"")</f>
        <v/>
      </c>
      <c r="M29" s="65" t="s">
        <v>144</v>
      </c>
      <c r="N29" s="65" t="str">
        <f t="shared" ref="N29:N92" si="14">IF(A28=$D$8,$N$24,"")</f>
        <v/>
      </c>
      <c r="O29" s="65">
        <f>IF(A28=$D$8,SUM($O$25:O28),IF(A28&gt;$D$8," ",$N$5*$D$6))</f>
        <v>1250</v>
      </c>
      <c r="P29" s="70" t="str">
        <f>IF(A28=$D$8,XIRR(H$24:H28,C$24:C28),"")</f>
        <v/>
      </c>
      <c r="Q29" s="74" t="str">
        <f t="shared" si="13"/>
        <v/>
      </c>
      <c r="R29" s="65">
        <f t="shared" ca="1" si="5"/>
        <v>12439.95647531388</v>
      </c>
      <c r="S29" s="67">
        <f t="shared" ca="1" si="6"/>
        <v>2025</v>
      </c>
      <c r="T29" s="67">
        <f t="shared" ca="1" si="7"/>
        <v>365</v>
      </c>
      <c r="U29" s="67">
        <f t="shared" ca="1" si="8"/>
        <v>10</v>
      </c>
      <c r="V29" s="72">
        <f t="shared" ca="1" si="9"/>
        <v>9</v>
      </c>
      <c r="W29" s="73">
        <f t="shared" ca="1" si="10"/>
        <v>22</v>
      </c>
      <c r="X29" s="67"/>
    </row>
    <row r="30" spans="1:26" x14ac:dyDescent="0.35">
      <c r="A30" s="68">
        <f t="shared" si="2"/>
        <v>6</v>
      </c>
      <c r="B30" s="64">
        <f t="shared" ca="1" si="11"/>
        <v>45783</v>
      </c>
      <c r="C30" s="64">
        <f t="shared" ca="1" si="4"/>
        <v>45787</v>
      </c>
      <c r="D30" s="68">
        <f t="shared" ca="1" si="1"/>
        <v>30</v>
      </c>
      <c r="E30" s="65">
        <f t="shared" ca="1" si="12"/>
        <v>219816.11114811673</v>
      </c>
      <c r="F30" s="65">
        <f ca="1">IF(AND(A29="",A31=""),"",IF(A30="",ROUND(SUM($F$25:F29),2),IF(A30=$D$8,$E$24-ROUND(SUM($F$25:F29),2),($G$9-G30))))</f>
        <v>5313.9964753138802</v>
      </c>
      <c r="G30" s="65">
        <f ca="1">IF(A29=$D$8,ROUND(SUM($G$25:G29),2),IF(A30&gt;$D$8,"",IF(T30&lt;&gt;T29,ROUND(SUM(V30*$D$9*E29/T30,W30*$D$9*E29/T29),2),ROUND(E29*$D$9*D30/T29,2))))</f>
        <v>4625.96</v>
      </c>
      <c r="H30" s="65">
        <f ca="1">IF(A29=$D$8,SUM($H$25:H29),IF(A29&gt;$D$8,"",F30+G30+O30))</f>
        <v>11189.95647531388</v>
      </c>
      <c r="I30" s="74" t="str">
        <f t="shared" ref="I30:I37" si="15">IF(A30="",$I$24,"")</f>
        <v/>
      </c>
      <c r="J30" s="74" t="str">
        <f t="shared" ref="J30:J36" si="16">IF(A30="",$J$24,"")</f>
        <v/>
      </c>
      <c r="K30" s="74" t="s">
        <v>144</v>
      </c>
      <c r="L30" s="74" t="str">
        <f>IF(A30="",$L$24,"")</f>
        <v/>
      </c>
      <c r="M30" s="65" t="str">
        <f t="shared" ref="M30:M91" si="17">IF(A29=$D$8,$M$24,"")</f>
        <v/>
      </c>
      <c r="N30" s="65" t="str">
        <f t="shared" si="14"/>
        <v/>
      </c>
      <c r="O30" s="65">
        <f>IF(A29=$D$8,SUM($O$25:O29),IF(A29&gt;$D$8," ",$N$5*$D$6))</f>
        <v>1250</v>
      </c>
      <c r="P30" s="70" t="str">
        <f>IF(A29=$D$8,XIRR(H$24:H29,C$24:C29),"")</f>
        <v/>
      </c>
      <c r="Q30" s="74" t="str">
        <f t="shared" si="13"/>
        <v/>
      </c>
      <c r="R30" s="65">
        <f t="shared" ca="1" si="5"/>
        <v>12439.95647531388</v>
      </c>
      <c r="S30" s="67">
        <f t="shared" ca="1" si="6"/>
        <v>2025</v>
      </c>
      <c r="T30" s="67">
        <f t="shared" ca="1" si="7"/>
        <v>365</v>
      </c>
      <c r="U30" s="67">
        <f t="shared" ca="1" si="8"/>
        <v>10</v>
      </c>
      <c r="V30" s="72">
        <f t="shared" ca="1" si="9"/>
        <v>9</v>
      </c>
      <c r="W30" s="73">
        <f t="shared" ca="1" si="10"/>
        <v>21</v>
      </c>
      <c r="X30" s="67"/>
    </row>
    <row r="31" spans="1:26" x14ac:dyDescent="0.35">
      <c r="A31" s="68">
        <f t="shared" si="2"/>
        <v>7</v>
      </c>
      <c r="B31" s="64">
        <f t="shared" ca="1" si="11"/>
        <v>45814</v>
      </c>
      <c r="C31" s="64">
        <f t="shared" ca="1" si="4"/>
        <v>45818</v>
      </c>
      <c r="D31" s="68">
        <f t="shared" ca="1" si="1"/>
        <v>31</v>
      </c>
      <c r="E31" s="65">
        <f t="shared" ca="1" si="12"/>
        <v>214543.48467280285</v>
      </c>
      <c r="F31" s="65">
        <f ca="1">IF(AND(A30="",A32=""),"",IF(A31="",ROUND(SUM($F$25:F30),2),IF(A31=$D$8,$E$24-ROUND(SUM($F$25:F30),2),($G$9-G31))))</f>
        <v>5272.6264753138803</v>
      </c>
      <c r="G31" s="65">
        <f ca="1">IF(A30=$D$8,ROUND(SUM($G$25:G30),2),IF(A31&gt;$D$8,"",IF(T31&lt;&gt;T30,ROUND(SUM(V31*$D$9*E30/T31,W31*$D$9*E30/T30),2),ROUND(E30*$D$9*D31/T30,2))))</f>
        <v>4667.33</v>
      </c>
      <c r="H31" s="65">
        <f ca="1">IF(A30=$D$8,SUM($H$25:H30),IF(A30&gt;$D$8,"",F31+G31+O31))</f>
        <v>11189.95647531388</v>
      </c>
      <c r="I31" s="74" t="str">
        <f t="shared" si="15"/>
        <v/>
      </c>
      <c r="J31" s="74" t="str">
        <f t="shared" si="16"/>
        <v/>
      </c>
      <c r="K31" s="74" t="s">
        <v>144</v>
      </c>
      <c r="L31" s="74" t="str">
        <f t="shared" ref="L31:L37" si="18">IF(A31="",$L$24,"")</f>
        <v/>
      </c>
      <c r="M31" s="65" t="str">
        <f t="shared" si="17"/>
        <v/>
      </c>
      <c r="N31" s="65" t="str">
        <f t="shared" si="14"/>
        <v/>
      </c>
      <c r="O31" s="65">
        <f>IF(A30=$D$8,SUM($O$25:O30),IF(A30&gt;$D$8," ",$N$5*$D$6))</f>
        <v>1250</v>
      </c>
      <c r="P31" s="70" t="str">
        <f>IF(A30=$D$8,XIRR(H$24:H30,C$24:C30),"")</f>
        <v/>
      </c>
      <c r="Q31" s="74" t="str">
        <f t="shared" si="13"/>
        <v/>
      </c>
      <c r="R31" s="65">
        <f t="shared" ca="1" si="5"/>
        <v>12439.95647531388</v>
      </c>
      <c r="S31" s="67">
        <f t="shared" ca="1" si="6"/>
        <v>2025</v>
      </c>
      <c r="T31" s="67">
        <f t="shared" ca="1" si="7"/>
        <v>365</v>
      </c>
      <c r="U31" s="67">
        <f t="shared" ca="1" si="8"/>
        <v>10</v>
      </c>
      <c r="V31" s="72">
        <f t="shared" ca="1" si="9"/>
        <v>9</v>
      </c>
      <c r="W31" s="73">
        <f t="shared" ca="1" si="10"/>
        <v>22</v>
      </c>
      <c r="X31" s="67"/>
    </row>
    <row r="32" spans="1:26" x14ac:dyDescent="0.35">
      <c r="A32" s="68">
        <f t="shared" si="2"/>
        <v>8</v>
      </c>
      <c r="B32" s="64">
        <f t="shared" ca="1" si="11"/>
        <v>45844</v>
      </c>
      <c r="C32" s="64">
        <f t="shared" ca="1" si="4"/>
        <v>45848</v>
      </c>
      <c r="D32" s="68">
        <f t="shared" ca="1" si="1"/>
        <v>30</v>
      </c>
      <c r="E32" s="65">
        <f t="shared" ca="1" si="12"/>
        <v>209011.95819748897</v>
      </c>
      <c r="F32" s="65">
        <f ca="1">IF(AND(A31="",A33=""),"",IF(A32="",ROUND(SUM($F$25:F31),2),IF(A32=$D$8,$E$24-ROUND(SUM($F$25:F31),2),($G$9-G32))))</f>
        <v>5531.5264753138799</v>
      </c>
      <c r="G32" s="65">
        <f ca="1">IF(A31=$D$8,ROUND(SUM($G$25:G31),2),IF(A32&gt;$D$8,"",IF(T32&lt;&gt;T31,ROUND(SUM(V32*$D$9*E31/T32,W32*$D$9*E31/T31),2),ROUND(E31*$D$9*D32/T31,2))))</f>
        <v>4408.43</v>
      </c>
      <c r="H32" s="65">
        <f ca="1">IF(A31=$D$8,SUM($H$25:H31),IF(A31&gt;$D$8,"",F32+G32+O32))</f>
        <v>11189.95647531388</v>
      </c>
      <c r="I32" s="74" t="str">
        <f t="shared" si="15"/>
        <v/>
      </c>
      <c r="J32" s="74" t="str">
        <f t="shared" si="16"/>
        <v/>
      </c>
      <c r="K32" s="74" t="s">
        <v>144</v>
      </c>
      <c r="L32" s="74" t="str">
        <f t="shared" si="18"/>
        <v/>
      </c>
      <c r="M32" s="65" t="str">
        <f t="shared" si="17"/>
        <v/>
      </c>
      <c r="N32" s="65" t="str">
        <f t="shared" si="14"/>
        <v/>
      </c>
      <c r="O32" s="65">
        <f>IF(A31=$D$8,SUM($O$25:O31),IF(A31&gt;$D$8," ",$N$5*$D$6))</f>
        <v>1250</v>
      </c>
      <c r="P32" s="70" t="str">
        <f>IF(A31=$D$8,XIRR(H$24:H31,C$24:C31),"")</f>
        <v/>
      </c>
      <c r="Q32" s="74" t="str">
        <f t="shared" si="13"/>
        <v/>
      </c>
      <c r="R32" s="65">
        <f t="shared" ca="1" si="5"/>
        <v>12439.95647531388</v>
      </c>
      <c r="S32" s="67">
        <f t="shared" ca="1" si="6"/>
        <v>2025</v>
      </c>
      <c r="T32" s="67">
        <f t="shared" ca="1" si="7"/>
        <v>365</v>
      </c>
      <c r="U32" s="67">
        <f t="shared" ca="1" si="8"/>
        <v>10</v>
      </c>
      <c r="V32" s="72">
        <f t="shared" ca="1" si="9"/>
        <v>9</v>
      </c>
      <c r="W32" s="73">
        <f t="shared" ca="1" si="10"/>
        <v>21</v>
      </c>
      <c r="X32" s="67"/>
    </row>
    <row r="33" spans="1:24" x14ac:dyDescent="0.35">
      <c r="A33" s="68">
        <f t="shared" si="2"/>
        <v>9</v>
      </c>
      <c r="B33" s="64">
        <f t="shared" ca="1" si="11"/>
        <v>45875</v>
      </c>
      <c r="C33" s="64">
        <f t="shared" ca="1" si="4"/>
        <v>45879</v>
      </c>
      <c r="D33" s="68">
        <f t="shared" ca="1" si="1"/>
        <v>31</v>
      </c>
      <c r="E33" s="65">
        <f t="shared" ca="1" si="12"/>
        <v>203509.9317221751</v>
      </c>
      <c r="F33" s="65">
        <f ca="1">IF(AND(A32="",A34=""),"",IF(A33="",ROUND(SUM($F$25:F32),2),IF(A33=$D$8,$E$24-ROUND(SUM($F$25:F32),2),($G$9-G33))))</f>
        <v>5502.0264753138799</v>
      </c>
      <c r="G33" s="65">
        <f ca="1">IF(A32=$D$8,ROUND(SUM($G$25:G32),2),IF(A33&gt;$D$8,"",IF(T33&lt;&gt;T32,ROUND(SUM(V33*$D$9*E32/T33,W33*$D$9*E32/T32),2),ROUND(E32*$D$9*D33/T32,2))))</f>
        <v>4437.93</v>
      </c>
      <c r="H33" s="65">
        <f ca="1">IF(A32=$D$8,SUM($H$25:H32),IF(A32&gt;$D$8,"",F33+G33+O33))</f>
        <v>11189.95647531388</v>
      </c>
      <c r="I33" s="74" t="str">
        <f t="shared" si="15"/>
        <v/>
      </c>
      <c r="J33" s="74" t="str">
        <f t="shared" si="16"/>
        <v/>
      </c>
      <c r="K33" s="74" t="s">
        <v>144</v>
      </c>
      <c r="L33" s="74" t="str">
        <f t="shared" si="18"/>
        <v/>
      </c>
      <c r="M33" s="65" t="str">
        <f t="shared" si="17"/>
        <v/>
      </c>
      <c r="N33" s="65" t="str">
        <f t="shared" si="14"/>
        <v/>
      </c>
      <c r="O33" s="65">
        <f>IF(A32=$D$8,SUM($O$25:O32),IF(A32&gt;$D$8," ",$N$5*$D$6))</f>
        <v>1250</v>
      </c>
      <c r="P33" s="70" t="str">
        <f>IF(A32=$D$8,XIRR(H$24:H32,C$24:C32),"")</f>
        <v/>
      </c>
      <c r="Q33" s="74" t="str">
        <f t="shared" si="13"/>
        <v/>
      </c>
      <c r="R33" s="65">
        <f t="shared" ca="1" si="5"/>
        <v>12439.95647531388</v>
      </c>
      <c r="S33" s="67">
        <f t="shared" ca="1" si="6"/>
        <v>2025</v>
      </c>
      <c r="T33" s="67">
        <f t="shared" ca="1" si="7"/>
        <v>365</v>
      </c>
      <c r="U33" s="67">
        <f t="shared" ca="1" si="8"/>
        <v>10</v>
      </c>
      <c r="V33" s="72">
        <f t="shared" ca="1" si="9"/>
        <v>9</v>
      </c>
      <c r="W33" s="73">
        <f t="shared" ca="1" si="10"/>
        <v>22</v>
      </c>
      <c r="X33" s="67"/>
    </row>
    <row r="34" spans="1:24" x14ac:dyDescent="0.35">
      <c r="A34" s="68">
        <f t="shared" si="2"/>
        <v>10</v>
      </c>
      <c r="B34" s="64">
        <f t="shared" ca="1" si="11"/>
        <v>45906</v>
      </c>
      <c r="C34" s="64">
        <f t="shared" ca="1" si="4"/>
        <v>45910</v>
      </c>
      <c r="D34" s="68">
        <f t="shared" ca="1" si="1"/>
        <v>31</v>
      </c>
      <c r="E34" s="65">
        <f t="shared" ca="1" si="12"/>
        <v>197891.0752468612</v>
      </c>
      <c r="F34" s="65">
        <f ca="1">IF(AND(A33="",A35=""),"",IF(A34="",ROUND(SUM($F$25:F33),2),IF(A34=$D$8,$E$24-ROUND(SUM($F$25:F33),2),($G$9-G34))))</f>
        <v>5618.8564753138799</v>
      </c>
      <c r="G34" s="65">
        <f ca="1">IF(A33=$D$8,ROUND(SUM($G$25:G33),2),IF(A34&gt;$D$8,"",IF(T34&lt;&gt;T33,ROUND(SUM(V34*$D$9*E33/T34,W34*$D$9*E33/T33),2),ROUND(E33*$D$9*D34/T33,2))))</f>
        <v>4321.1000000000004</v>
      </c>
      <c r="H34" s="65">
        <f ca="1">IF(A33=$D$8,SUM($H$25:H33),IF(A33&gt;$D$8,"",F34+G34+O34))</f>
        <v>11189.95647531388</v>
      </c>
      <c r="I34" s="74" t="str">
        <f t="shared" si="15"/>
        <v/>
      </c>
      <c r="J34" s="74" t="str">
        <f t="shared" si="16"/>
        <v/>
      </c>
      <c r="K34" s="74" t="s">
        <v>144</v>
      </c>
      <c r="L34" s="74" t="str">
        <f t="shared" si="18"/>
        <v/>
      </c>
      <c r="M34" s="65" t="str">
        <f t="shared" si="17"/>
        <v/>
      </c>
      <c r="N34" s="65" t="str">
        <f t="shared" si="14"/>
        <v/>
      </c>
      <c r="O34" s="65">
        <f>IF(A33=$D$8,SUM($O$25:O33),IF(A33&gt;$D$8," ",$N$5*$D$6))</f>
        <v>1250</v>
      </c>
      <c r="P34" s="70" t="str">
        <f>IF(A33=$D$8,XIRR(H$24:H33,C$24:C33),"")</f>
        <v/>
      </c>
      <c r="Q34" s="74" t="str">
        <f t="shared" si="13"/>
        <v/>
      </c>
      <c r="R34" s="65">
        <f t="shared" ca="1" si="5"/>
        <v>12439.95647531388</v>
      </c>
      <c r="S34" s="67">
        <f t="shared" ca="1" si="6"/>
        <v>2025</v>
      </c>
      <c r="T34" s="67">
        <f t="shared" ca="1" si="7"/>
        <v>365</v>
      </c>
      <c r="U34" s="67">
        <f t="shared" ca="1" si="8"/>
        <v>10</v>
      </c>
      <c r="V34" s="72">
        <f t="shared" ca="1" si="9"/>
        <v>9</v>
      </c>
      <c r="W34" s="73">
        <f t="shared" ca="1" si="10"/>
        <v>22</v>
      </c>
      <c r="X34" s="67"/>
    </row>
    <row r="35" spans="1:24" x14ac:dyDescent="0.35">
      <c r="A35" s="68">
        <f t="shared" si="2"/>
        <v>11</v>
      </c>
      <c r="B35" s="64">
        <f t="shared" ca="1" si="11"/>
        <v>45936</v>
      </c>
      <c r="C35" s="64">
        <f t="shared" ca="1" si="4"/>
        <v>45940</v>
      </c>
      <c r="D35" s="68">
        <f t="shared" ca="1" si="1"/>
        <v>30</v>
      </c>
      <c r="E35" s="65">
        <f t="shared" ca="1" si="12"/>
        <v>192017.36877154734</v>
      </c>
      <c r="F35" s="65">
        <f ca="1">IF(AND(A34="",A36=""),"",IF(A35="",ROUND(SUM($F$25:F34),2),IF(A35=$D$8,$E$24-ROUND(SUM($F$25:F34),2),($G$9-G35))))</f>
        <v>5873.7064753138802</v>
      </c>
      <c r="G35" s="65">
        <f ca="1">IF(A34=$D$8,ROUND(SUM($G$25:G34),2),IF(A35&gt;$D$8,"",IF(T35&lt;&gt;T34,ROUND(SUM(V35*$D$9*E34/T35,W35*$D$9*E34/T34),2),ROUND(E34*$D$9*D35/T34,2))))</f>
        <v>4066.25</v>
      </c>
      <c r="H35" s="65">
        <f ca="1">IF(A34=$D$8,SUM($H$25:H34),IF(A34&gt;$D$8,"",F35+G35+O35))</f>
        <v>11189.95647531388</v>
      </c>
      <c r="I35" s="74" t="str">
        <f t="shared" si="15"/>
        <v/>
      </c>
      <c r="J35" s="74" t="str">
        <f t="shared" si="16"/>
        <v/>
      </c>
      <c r="K35" s="74" t="s">
        <v>144</v>
      </c>
      <c r="L35" s="74" t="str">
        <f t="shared" si="18"/>
        <v/>
      </c>
      <c r="M35" s="65" t="str">
        <f t="shared" si="17"/>
        <v/>
      </c>
      <c r="N35" s="65" t="str">
        <f t="shared" si="14"/>
        <v/>
      </c>
      <c r="O35" s="65">
        <f>IF(A34=$D$8,SUM($O$25:O34),IF(A34&gt;$D$8," ",$N$5*$D$6))</f>
        <v>1250</v>
      </c>
      <c r="P35" s="70" t="str">
        <f>IF(A34=$D$8,XIRR(H$24:H34,C$24:C34),"")</f>
        <v/>
      </c>
      <c r="Q35" s="74" t="str">
        <f t="shared" si="13"/>
        <v/>
      </c>
      <c r="R35" s="65">
        <f t="shared" ca="1" si="5"/>
        <v>12439.95647531388</v>
      </c>
      <c r="S35" s="67">
        <f t="shared" ca="1" si="6"/>
        <v>2025</v>
      </c>
      <c r="T35" s="67">
        <f t="shared" ca="1" si="7"/>
        <v>365</v>
      </c>
      <c r="U35" s="67">
        <f t="shared" ca="1" si="8"/>
        <v>10</v>
      </c>
      <c r="V35" s="72">
        <f t="shared" ca="1" si="9"/>
        <v>9</v>
      </c>
      <c r="W35" s="73">
        <f t="shared" ca="1" si="10"/>
        <v>21</v>
      </c>
      <c r="X35" s="67"/>
    </row>
    <row r="36" spans="1:24" x14ac:dyDescent="0.35">
      <c r="A36" s="68">
        <f t="shared" si="2"/>
        <v>12</v>
      </c>
      <c r="B36" s="64">
        <f t="shared" ca="1" si="11"/>
        <v>45967</v>
      </c>
      <c r="C36" s="64">
        <f t="shared" ca="1" si="4"/>
        <v>45971</v>
      </c>
      <c r="D36" s="68">
        <f t="shared" ca="1" si="1"/>
        <v>31</v>
      </c>
      <c r="E36" s="65">
        <f t="shared" ca="1" si="12"/>
        <v>186154.49229623345</v>
      </c>
      <c r="F36" s="65">
        <f ca="1">IF(AND(A35="",A37=""),"",IF(A36="",ROUND(SUM($F$25:F35),2),IF(A36=$D$8,$E$24-ROUND(SUM($F$25:F35),2),($G$9-G36))))</f>
        <v>5862.8764753138803</v>
      </c>
      <c r="G36" s="65">
        <f ca="1">IF(A35=$D$8,ROUND(SUM($G$25:G35),2),IF(A36&gt;$D$8,"",IF(T36&lt;&gt;T35,ROUND(SUM(V36*$D$9*E35/T36,W36*$D$9*E35/T35),2),ROUND(E35*$D$9*D36/T35,2))))</f>
        <v>4077.08</v>
      </c>
      <c r="H36" s="65">
        <f ca="1">IF(A35=$D$8,SUM($H$25:H35),IF(A35&gt;$D$8,"",F36+G36+O36))</f>
        <v>11189.95647531388</v>
      </c>
      <c r="I36" s="74" t="str">
        <f t="shared" si="15"/>
        <v/>
      </c>
      <c r="J36" s="74" t="str">
        <f t="shared" si="16"/>
        <v/>
      </c>
      <c r="K36" s="74" t="s">
        <v>144</v>
      </c>
      <c r="L36" s="74" t="str">
        <f t="shared" si="18"/>
        <v/>
      </c>
      <c r="M36" s="65" t="str">
        <f t="shared" si="17"/>
        <v/>
      </c>
      <c r="N36" s="65" t="str">
        <f t="shared" si="14"/>
        <v/>
      </c>
      <c r="O36" s="65">
        <f>IF(A35=$D$8,SUM($O$25:O35),IF(A35&gt;$D$8," ",$N$5*$D$6))</f>
        <v>1250</v>
      </c>
      <c r="P36" s="70" t="str">
        <f>IF(A35=$D$8,XIRR(H$24:H35,C$24:C35),"")</f>
        <v/>
      </c>
      <c r="Q36" s="74" t="str">
        <f t="shared" si="13"/>
        <v/>
      </c>
      <c r="R36" s="65">
        <f t="shared" ca="1" si="5"/>
        <v>12439.95647531388</v>
      </c>
      <c r="S36" s="67">
        <f t="shared" ca="1" si="6"/>
        <v>2025</v>
      </c>
      <c r="T36" s="67">
        <f t="shared" ca="1" si="7"/>
        <v>365</v>
      </c>
      <c r="U36" s="67">
        <f t="shared" ca="1" si="8"/>
        <v>10</v>
      </c>
      <c r="V36" s="72">
        <f t="shared" ca="1" si="9"/>
        <v>9</v>
      </c>
      <c r="W36" s="73">
        <f t="shared" ca="1" si="10"/>
        <v>22</v>
      </c>
      <c r="X36" s="67"/>
    </row>
    <row r="37" spans="1:24" x14ac:dyDescent="0.35">
      <c r="A37" s="68">
        <f t="shared" si="2"/>
        <v>13</v>
      </c>
      <c r="B37" s="64">
        <f ca="1">IF(A37="","",EDATE($B$24,A37))</f>
        <v>45997</v>
      </c>
      <c r="C37" s="64">
        <f t="shared" ca="1" si="4"/>
        <v>46001</v>
      </c>
      <c r="D37" s="68">
        <f t="shared" ref="D37:D100" ca="1" si="19">IF(A37&gt;$D$8,"",C37-C36)</f>
        <v>30</v>
      </c>
      <c r="E37" s="65">
        <f t="shared" ref="E37:E100" ca="1" si="20">IF(A37&gt;$D$8,"",E36-F37)</f>
        <v>180039.62582091958</v>
      </c>
      <c r="F37" s="65">
        <f ca="1">IF(AND(A36="",A38=""),"",IF(A37="",ROUND(SUM($F$25:F36),2),IF(A37=$D$8,$E$24-ROUND(SUM($F$25:F36),2),($G$9-G37))))</f>
        <v>6114.8664753138801</v>
      </c>
      <c r="G37" s="65">
        <f ca="1">IF(A36=$D$8,ROUND(SUM($G$25:G36),2),IF(A37&gt;$D$8,"",IF(T37&lt;&gt;T36,ROUND(SUM(V37*$D$9*E36/T37,W37*$D$9*E36/T36),2),ROUND(E36*$D$9*D37/T36,2))))</f>
        <v>3825.09</v>
      </c>
      <c r="H37" s="65">
        <f ca="1">IF(A36=$D$8,SUM($H$25:H36),IF(A36&gt;$D$8,"",F37+G37+O37))</f>
        <v>11189.95647531388</v>
      </c>
      <c r="I37" s="74" t="str">
        <f t="shared" si="15"/>
        <v/>
      </c>
      <c r="J37" s="74">
        <f>IF($D$8&gt;A36,$N$9,IF(A36=12,$J$24,SUM($J$24:J36)))</f>
        <v>0</v>
      </c>
      <c r="K37" s="74">
        <f ca="1">IF(D8&gt;12,(O8+$N$10*E36),IF($A$36=$D$8,K24,""))</f>
        <v>0</v>
      </c>
      <c r="L37" s="74" t="str">
        <f t="shared" si="18"/>
        <v/>
      </c>
      <c r="M37" s="65" t="str">
        <f t="shared" si="17"/>
        <v/>
      </c>
      <c r="N37" s="65" t="str">
        <f t="shared" si="14"/>
        <v/>
      </c>
      <c r="O37" s="65">
        <f>IF(A36=$D$8,SUM($O$25:O36),IF(A36&gt;$D$8," ",$N$5*$D$6))</f>
        <v>1250</v>
      </c>
      <c r="P37" s="70" t="str">
        <f>IF(A36=$D$8,XIRR(H$24:H36,C$24:C36),"")</f>
        <v/>
      </c>
      <c r="Q37" s="74" t="str">
        <f t="shared" si="13"/>
        <v/>
      </c>
      <c r="R37" s="65">
        <f t="shared" ca="1" si="5"/>
        <v>12439.95647531388</v>
      </c>
      <c r="S37" s="67">
        <f t="shared" ca="1" si="6"/>
        <v>2025</v>
      </c>
      <c r="T37" s="67">
        <f t="shared" ca="1" si="7"/>
        <v>365</v>
      </c>
      <c r="U37" s="67">
        <f t="shared" ca="1" si="8"/>
        <v>10</v>
      </c>
      <c r="V37" s="72">
        <f t="shared" ca="1" si="9"/>
        <v>9</v>
      </c>
      <c r="W37" s="73">
        <f t="shared" ca="1" si="10"/>
        <v>21</v>
      </c>
      <c r="X37" s="67"/>
    </row>
    <row r="38" spans="1:24" x14ac:dyDescent="0.35">
      <c r="A38" s="68">
        <f t="shared" si="2"/>
        <v>14</v>
      </c>
      <c r="B38" s="64">
        <f t="shared" ref="B38:B101" ca="1" si="21">IF(A38="","",EDATE($B$24,A38))</f>
        <v>46028</v>
      </c>
      <c r="C38" s="64">
        <f t="shared" ca="1" si="4"/>
        <v>46032</v>
      </c>
      <c r="D38" s="68">
        <f t="shared" ca="1" si="19"/>
        <v>31</v>
      </c>
      <c r="E38" s="65">
        <f t="shared" ca="1" si="20"/>
        <v>173922.42934560569</v>
      </c>
      <c r="F38" s="65">
        <f ca="1">IF(AND(A37="",A39=""),"",IF(A38="",ROUND(SUM($F$25:F37),2),IF(A38=$D$8,$E$24-ROUND(SUM($F$25:F37),2),($G$9-G38))))</f>
        <v>6117.19647531388</v>
      </c>
      <c r="G38" s="65">
        <f ca="1">IF(A37=$D$8,ROUND(SUM($G$25:G37),2),IF(A38&gt;$D$8,"",IF(T38&lt;&gt;T37,ROUND(SUM(V38*$D$9*E37/T38,W38*$D$9*E37/T37),2),ROUND(E37*$D$9*D38/T37,2))))</f>
        <v>3822.76</v>
      </c>
      <c r="H38" s="65">
        <f ca="1">IF(A37=$D$8,SUM($H$25:H37),IF(A37&gt;$D$8,"",F38+G38+O38))</f>
        <v>11189.95647531388</v>
      </c>
      <c r="I38" s="74" t="str">
        <f t="shared" ref="I38:I101" si="22">IF(A37=$D$8,$I$24,"")</f>
        <v/>
      </c>
      <c r="J38" s="74" t="str">
        <f t="shared" ref="J38:J84" si="23">IF(A37=$D$8,$J$24,"")</f>
        <v/>
      </c>
      <c r="K38" s="74" t="s">
        <v>144</v>
      </c>
      <c r="L38" s="74" t="str">
        <f t="shared" ref="L38:L101" si="24">IF(A37=$D$8,$L$24,"")</f>
        <v/>
      </c>
      <c r="M38" s="65" t="str">
        <f t="shared" si="17"/>
        <v/>
      </c>
      <c r="N38" s="65" t="str">
        <f t="shared" si="14"/>
        <v/>
      </c>
      <c r="O38" s="65">
        <f>IF(A37=$D$8,SUM($O$25:O37),IF(A37&gt;$D$8," ",$N$5*$D$6))</f>
        <v>1250</v>
      </c>
      <c r="P38" s="70" t="str">
        <f>IF(A37=$D$8,XIRR(H$24:H37,C$24:C37),"")</f>
        <v/>
      </c>
      <c r="Q38" s="74" t="str">
        <f t="shared" si="13"/>
        <v/>
      </c>
      <c r="R38" s="65">
        <f t="shared" ca="1" si="5"/>
        <v>12439.95647531388</v>
      </c>
      <c r="S38" s="67">
        <f t="shared" ca="1" si="6"/>
        <v>2026</v>
      </c>
      <c r="T38" s="67">
        <f t="shared" ca="1" si="7"/>
        <v>365</v>
      </c>
      <c r="U38" s="67">
        <f t="shared" ca="1" si="8"/>
        <v>10</v>
      </c>
      <c r="V38" s="72">
        <f t="shared" ca="1" si="9"/>
        <v>9</v>
      </c>
      <c r="W38" s="73">
        <f t="shared" ca="1" si="10"/>
        <v>22</v>
      </c>
      <c r="X38" s="67"/>
    </row>
    <row r="39" spans="1:24" x14ac:dyDescent="0.35">
      <c r="A39" s="68">
        <f t="shared" si="2"/>
        <v>15</v>
      </c>
      <c r="B39" s="64">
        <f t="shared" ca="1" si="21"/>
        <v>46059</v>
      </c>
      <c r="C39" s="64">
        <f t="shared" ca="1" si="4"/>
        <v>46063</v>
      </c>
      <c r="D39" s="68">
        <f t="shared" ca="1" si="19"/>
        <v>31</v>
      </c>
      <c r="E39" s="65">
        <f t="shared" ca="1" si="20"/>
        <v>167675.34287029182</v>
      </c>
      <c r="F39" s="65">
        <f ca="1">IF(AND(A38="",A40=""),"",IF(A39="",ROUND(SUM($F$25:F38),2),IF(A39=$D$8,$E$24-ROUND(SUM($F$25:F38),2),($G$9-G39))))</f>
        <v>6247.0864753138803</v>
      </c>
      <c r="G39" s="65">
        <f ca="1">IF(A38=$D$8,ROUND(SUM($G$25:G38),2),IF(A39&gt;$D$8,"",IF(T39&lt;&gt;T38,ROUND(SUM(V39*$D$9*E38/T39,W39*$D$9*E38/T38),2),ROUND(E38*$D$9*D39/T38,2))))</f>
        <v>3692.87</v>
      </c>
      <c r="H39" s="65">
        <f ca="1">IF(A38=$D$8,SUM($H$25:H38),IF(A38&gt;$D$8,"",F39+G39+O39))</f>
        <v>11189.95647531388</v>
      </c>
      <c r="I39" s="74" t="str">
        <f t="shared" si="22"/>
        <v/>
      </c>
      <c r="J39" s="74" t="str">
        <f t="shared" si="23"/>
        <v/>
      </c>
      <c r="K39" s="74" t="s">
        <v>144</v>
      </c>
      <c r="L39" s="74" t="str">
        <f t="shared" si="24"/>
        <v/>
      </c>
      <c r="M39" s="65" t="str">
        <f t="shared" si="17"/>
        <v/>
      </c>
      <c r="N39" s="65" t="str">
        <f t="shared" si="14"/>
        <v/>
      </c>
      <c r="O39" s="65">
        <f>IF(A38=$D$8,SUM($O$25:O38),IF(A38&gt;$D$8," ",$N$5*$D$6))</f>
        <v>1250</v>
      </c>
      <c r="P39" s="70" t="str">
        <f>IF(A38=$D$8,XIRR(H$24:H38,C$24:C38),"")</f>
        <v/>
      </c>
      <c r="Q39" s="74" t="str">
        <f t="shared" si="13"/>
        <v/>
      </c>
      <c r="R39" s="65">
        <f t="shared" ca="1" si="5"/>
        <v>12439.95647531388</v>
      </c>
      <c r="S39" s="67">
        <f t="shared" ca="1" si="6"/>
        <v>2026</v>
      </c>
      <c r="T39" s="67">
        <f t="shared" ca="1" si="7"/>
        <v>365</v>
      </c>
      <c r="U39" s="67">
        <f t="shared" ca="1" si="8"/>
        <v>10</v>
      </c>
      <c r="V39" s="72">
        <f t="shared" ca="1" si="9"/>
        <v>9</v>
      </c>
      <c r="W39" s="73">
        <f t="shared" ca="1" si="10"/>
        <v>22</v>
      </c>
      <c r="X39" s="67"/>
    </row>
    <row r="40" spans="1:24" x14ac:dyDescent="0.35">
      <c r="A40" s="68">
        <f t="shared" si="2"/>
        <v>16</v>
      </c>
      <c r="B40" s="64">
        <f t="shared" ca="1" si="21"/>
        <v>46087</v>
      </c>
      <c r="C40" s="64">
        <f t="shared" ca="1" si="4"/>
        <v>46091</v>
      </c>
      <c r="D40" s="68">
        <f t="shared" ca="1" si="19"/>
        <v>28</v>
      </c>
      <c r="E40" s="65">
        <f t="shared" ca="1" si="20"/>
        <v>160951.07639497795</v>
      </c>
      <c r="F40" s="65">
        <f ca="1">IF(AND(A39="",A41=""),"",IF(A40="",ROUND(SUM($F$25:F39),2),IF(A40=$D$8,$E$24-ROUND(SUM($F$25:F39),2),($G$9-G40))))</f>
        <v>6724.2664753138797</v>
      </c>
      <c r="G40" s="65">
        <f ca="1">IF(A39=$D$8,ROUND(SUM($G$25:G39),2),IF(A40&gt;$D$8,"",IF(T40&lt;&gt;T39,ROUND(SUM(V40*$D$9*E39/T40,W40*$D$9*E39/T39),2),ROUND(E39*$D$9*D40/T39,2))))</f>
        <v>3215.69</v>
      </c>
      <c r="H40" s="65">
        <f ca="1">IF(A39=$D$8,SUM($H$25:H39),IF(A39&gt;$D$8,"",F40+G40+O40))</f>
        <v>11189.95647531388</v>
      </c>
      <c r="I40" s="74" t="str">
        <f t="shared" si="22"/>
        <v/>
      </c>
      <c r="J40" s="74" t="str">
        <f t="shared" si="23"/>
        <v/>
      </c>
      <c r="K40" s="74" t="s">
        <v>144</v>
      </c>
      <c r="L40" s="74" t="str">
        <f t="shared" si="24"/>
        <v/>
      </c>
      <c r="M40" s="65" t="str">
        <f t="shared" si="17"/>
        <v/>
      </c>
      <c r="N40" s="65" t="str">
        <f t="shared" si="14"/>
        <v/>
      </c>
      <c r="O40" s="65">
        <f>IF(A39=$D$8,SUM($O$25:O39),IF(A39&gt;$D$8," ",$N$5*$D$6))</f>
        <v>1250</v>
      </c>
      <c r="P40" s="70" t="str">
        <f>IF(A39=$D$8,XIRR(H$24:H39,C$24:C39),"")</f>
        <v/>
      </c>
      <c r="Q40" s="74" t="str">
        <f t="shared" si="13"/>
        <v/>
      </c>
      <c r="R40" s="65">
        <f t="shared" ca="1" si="5"/>
        <v>12439.95647531388</v>
      </c>
      <c r="S40" s="67">
        <f t="shared" ca="1" si="6"/>
        <v>2026</v>
      </c>
      <c r="T40" s="67">
        <f t="shared" ca="1" si="7"/>
        <v>365</v>
      </c>
      <c r="U40" s="67">
        <f t="shared" ca="1" si="8"/>
        <v>10</v>
      </c>
      <c r="V40" s="72">
        <f t="shared" ca="1" si="9"/>
        <v>9</v>
      </c>
      <c r="W40" s="73">
        <f t="shared" ca="1" si="10"/>
        <v>19</v>
      </c>
      <c r="X40" s="67"/>
    </row>
    <row r="41" spans="1:24" x14ac:dyDescent="0.35">
      <c r="A41" s="68">
        <f t="shared" si="2"/>
        <v>17</v>
      </c>
      <c r="B41" s="64">
        <f t="shared" ca="1" si="21"/>
        <v>46118</v>
      </c>
      <c r="C41" s="64">
        <f t="shared" ca="1" si="4"/>
        <v>46122</v>
      </c>
      <c r="D41" s="68">
        <f t="shared" ca="1" si="19"/>
        <v>31</v>
      </c>
      <c r="E41" s="65">
        <f t="shared" ca="1" si="20"/>
        <v>154428.56991966406</v>
      </c>
      <c r="F41" s="65">
        <f ca="1">IF(AND(A40="",A42=""),"",IF(A41="",ROUND(SUM($F$25:F40),2),IF(A41=$D$8,$E$24-ROUND(SUM($F$25:F40),2),($G$9-G41))))</f>
        <v>6522.5064753138804</v>
      </c>
      <c r="G41" s="65">
        <f ca="1">IF(A40=$D$8,ROUND(SUM($G$25:G40),2),IF(A41&gt;$D$8,"",IF(T41&lt;&gt;T40,ROUND(SUM(V41*$D$9*E40/T41,W41*$D$9*E40/T40),2),ROUND(E40*$D$9*D41/T40,2))))</f>
        <v>3417.45</v>
      </c>
      <c r="H41" s="65">
        <f ca="1">IF(A40=$D$8,SUM($H$25:H40),IF(A40&gt;$D$8,"",F41+G41+O41))</f>
        <v>11189.95647531388</v>
      </c>
      <c r="I41" s="74" t="str">
        <f t="shared" si="22"/>
        <v/>
      </c>
      <c r="J41" s="74" t="str">
        <f t="shared" si="23"/>
        <v/>
      </c>
      <c r="K41" s="74" t="s">
        <v>144</v>
      </c>
      <c r="L41" s="74" t="str">
        <f t="shared" si="24"/>
        <v/>
      </c>
      <c r="M41" s="65" t="str">
        <f t="shared" si="17"/>
        <v/>
      </c>
      <c r="N41" s="65" t="str">
        <f t="shared" si="14"/>
        <v/>
      </c>
      <c r="O41" s="65">
        <f>IF(A40=$D$8,SUM($O$25:O40),IF(A40&gt;$D$8," ",$N$5*$D$6))</f>
        <v>1250</v>
      </c>
      <c r="P41" s="70" t="str">
        <f>IF(A40=$D$8,XIRR(H$24:H40,C$24:C40),"")</f>
        <v/>
      </c>
      <c r="Q41" s="74" t="str">
        <f t="shared" si="13"/>
        <v/>
      </c>
      <c r="R41" s="65">
        <f t="shared" ca="1" si="5"/>
        <v>12439.95647531388</v>
      </c>
      <c r="S41" s="67">
        <f t="shared" ca="1" si="6"/>
        <v>2026</v>
      </c>
      <c r="T41" s="67">
        <f t="shared" ca="1" si="7"/>
        <v>365</v>
      </c>
      <c r="U41" s="67">
        <f t="shared" ca="1" si="8"/>
        <v>10</v>
      </c>
      <c r="V41" s="72">
        <f t="shared" ca="1" si="9"/>
        <v>9</v>
      </c>
      <c r="W41" s="73">
        <f t="shared" ca="1" si="10"/>
        <v>22</v>
      </c>
      <c r="X41" s="67"/>
    </row>
    <row r="42" spans="1:24" x14ac:dyDescent="0.35">
      <c r="A42" s="68">
        <f t="shared" si="2"/>
        <v>18</v>
      </c>
      <c r="B42" s="64">
        <f t="shared" ca="1" si="21"/>
        <v>46148</v>
      </c>
      <c r="C42" s="64">
        <f t="shared" ca="1" si="4"/>
        <v>46152</v>
      </c>
      <c r="D42" s="68">
        <f t="shared" ca="1" si="19"/>
        <v>30</v>
      </c>
      <c r="E42" s="65">
        <f t="shared" ca="1" si="20"/>
        <v>147661.8034443502</v>
      </c>
      <c r="F42" s="65">
        <f ca="1">IF(AND(A41="",A43=""),"",IF(A42="",ROUND(SUM($F$25:F41),2),IF(A42=$D$8,$E$24-ROUND(SUM($F$25:F41),2),($G$9-G42))))</f>
        <v>6766.7664753138797</v>
      </c>
      <c r="G42" s="65">
        <f ca="1">IF(A41=$D$8,ROUND(SUM($G$25:G41),2),IF(A42&gt;$D$8,"",IF(T42&lt;&gt;T41,ROUND(SUM(V42*$D$9*E41/T42,W42*$D$9*E41/T41),2),ROUND(E41*$D$9*D42/T41,2))))</f>
        <v>3173.19</v>
      </c>
      <c r="H42" s="65">
        <f ca="1">IF(A41=$D$8,SUM($H$25:H41),IF(A41&gt;$D$8,"",F42+G42+O42))</f>
        <v>11189.95647531388</v>
      </c>
      <c r="I42" s="74" t="str">
        <f t="shared" si="22"/>
        <v/>
      </c>
      <c r="J42" s="74" t="str">
        <f t="shared" si="23"/>
        <v/>
      </c>
      <c r="K42" s="74" t="s">
        <v>144</v>
      </c>
      <c r="L42" s="74" t="str">
        <f t="shared" si="24"/>
        <v/>
      </c>
      <c r="M42" s="65" t="str">
        <f t="shared" si="17"/>
        <v/>
      </c>
      <c r="N42" s="65" t="str">
        <f t="shared" si="14"/>
        <v/>
      </c>
      <c r="O42" s="65">
        <f>IF(A41=$D$8,SUM($O$25:O41),IF(A41&gt;$D$8," ",$N$5*$D$6))</f>
        <v>1250</v>
      </c>
      <c r="P42" s="70" t="str">
        <f>IF(A41=$D$8,XIRR(H$24:H41,C$24:C41),"")</f>
        <v/>
      </c>
      <c r="Q42" s="74" t="str">
        <f t="shared" si="13"/>
        <v/>
      </c>
      <c r="R42" s="65">
        <f t="shared" ca="1" si="5"/>
        <v>12439.95647531388</v>
      </c>
      <c r="S42" s="67">
        <f t="shared" ca="1" si="6"/>
        <v>2026</v>
      </c>
      <c r="T42" s="67">
        <f t="shared" ca="1" si="7"/>
        <v>365</v>
      </c>
      <c r="U42" s="67">
        <f t="shared" ca="1" si="8"/>
        <v>10</v>
      </c>
      <c r="V42" s="72">
        <f t="shared" ca="1" si="9"/>
        <v>9</v>
      </c>
      <c r="W42" s="73">
        <f t="shared" ca="1" si="10"/>
        <v>21</v>
      </c>
      <c r="X42" s="67"/>
    </row>
    <row r="43" spans="1:24" x14ac:dyDescent="0.35">
      <c r="A43" s="68">
        <f t="shared" si="2"/>
        <v>19</v>
      </c>
      <c r="B43" s="64">
        <f t="shared" ca="1" si="21"/>
        <v>46179</v>
      </c>
      <c r="C43" s="64">
        <f t="shared" ca="1" si="4"/>
        <v>46183</v>
      </c>
      <c r="D43" s="68">
        <f t="shared" ca="1" si="19"/>
        <v>31</v>
      </c>
      <c r="E43" s="65">
        <f t="shared" ca="1" si="20"/>
        <v>140857.12696903633</v>
      </c>
      <c r="F43" s="65">
        <f ca="1">IF(AND(A42="",A44=""),"",IF(A43="",ROUND(SUM($F$25:F42),2),IF(A43=$D$8,$E$24-ROUND(SUM($F$25:F42),2),($G$9-G43))))</f>
        <v>6804.6764753138796</v>
      </c>
      <c r="G43" s="65">
        <f ca="1">IF(A42=$D$8,ROUND(SUM($G$25:G42),2),IF(A43&gt;$D$8,"",IF(T43&lt;&gt;T42,ROUND(SUM(V43*$D$9*E42/T43,W43*$D$9*E42/T42),2),ROUND(E42*$D$9*D43/T42,2))))</f>
        <v>3135.28</v>
      </c>
      <c r="H43" s="65">
        <f ca="1">IF(A42=$D$8,SUM($H$25:H42),IF(A42&gt;$D$8,"",F43+G43+O43))</f>
        <v>11189.95647531388</v>
      </c>
      <c r="I43" s="74" t="str">
        <f t="shared" si="22"/>
        <v/>
      </c>
      <c r="J43" s="74" t="str">
        <f t="shared" si="23"/>
        <v/>
      </c>
      <c r="K43" s="74" t="s">
        <v>144</v>
      </c>
      <c r="L43" s="74" t="str">
        <f t="shared" si="24"/>
        <v/>
      </c>
      <c r="M43" s="65" t="str">
        <f t="shared" si="17"/>
        <v/>
      </c>
      <c r="N43" s="65" t="str">
        <f t="shared" si="14"/>
        <v/>
      </c>
      <c r="O43" s="65">
        <f>IF(A42=$D$8,SUM($O$25:O42),IF(A42&gt;$D$8," ",$N$5*$D$6))</f>
        <v>1250</v>
      </c>
      <c r="P43" s="70" t="str">
        <f>IF(A42=$D$8,XIRR(H$24:H42,C$24:C42),"")</f>
        <v/>
      </c>
      <c r="Q43" s="74" t="str">
        <f t="shared" si="13"/>
        <v/>
      </c>
      <c r="R43" s="65">
        <f t="shared" ca="1" si="5"/>
        <v>12439.95647531388</v>
      </c>
      <c r="S43" s="67">
        <f t="shared" ca="1" si="6"/>
        <v>2026</v>
      </c>
      <c r="T43" s="67">
        <f t="shared" ca="1" si="7"/>
        <v>365</v>
      </c>
      <c r="U43" s="67">
        <f t="shared" ca="1" si="8"/>
        <v>10</v>
      </c>
      <c r="V43" s="72">
        <f t="shared" ca="1" si="9"/>
        <v>9</v>
      </c>
      <c r="W43" s="73">
        <f t="shared" ca="1" si="10"/>
        <v>22</v>
      </c>
      <c r="X43" s="67"/>
    </row>
    <row r="44" spans="1:24" x14ac:dyDescent="0.35">
      <c r="A44" s="68">
        <f t="shared" si="2"/>
        <v>20</v>
      </c>
      <c r="B44" s="64">
        <f t="shared" ca="1" si="21"/>
        <v>46209</v>
      </c>
      <c r="C44" s="64">
        <f t="shared" ca="1" si="4"/>
        <v>46213</v>
      </c>
      <c r="D44" s="68">
        <f t="shared" ca="1" si="19"/>
        <v>30</v>
      </c>
      <c r="E44" s="65">
        <f t="shared" ca="1" si="20"/>
        <v>133811.49049372243</v>
      </c>
      <c r="F44" s="65">
        <f ca="1">IF(AND(A43="",A45=""),"",IF(A44="",ROUND(SUM($F$25:F43),2),IF(A44=$D$8,$E$24-ROUND(SUM($F$25:F43),2),($G$9-G44))))</f>
        <v>7045.6364753138805</v>
      </c>
      <c r="G44" s="65">
        <f ca="1">IF(A43=$D$8,ROUND(SUM($G$25:G43),2),IF(A44&gt;$D$8,"",IF(T44&lt;&gt;T43,ROUND(SUM(V44*$D$9*E43/T44,W44*$D$9*E43/T43),2),ROUND(E43*$D$9*D44/T43,2))))</f>
        <v>2894.32</v>
      </c>
      <c r="H44" s="65">
        <f ca="1">IF(A43=$D$8,SUM($H$25:H43),IF(A43&gt;$D$8,"",F44+G44+O44))</f>
        <v>11189.95647531388</v>
      </c>
      <c r="I44" s="74" t="str">
        <f t="shared" si="22"/>
        <v/>
      </c>
      <c r="J44" s="74" t="str">
        <f t="shared" si="23"/>
        <v/>
      </c>
      <c r="K44" s="74" t="s">
        <v>144</v>
      </c>
      <c r="L44" s="74" t="str">
        <f t="shared" si="24"/>
        <v/>
      </c>
      <c r="M44" s="65" t="str">
        <f t="shared" si="17"/>
        <v/>
      </c>
      <c r="N44" s="65" t="str">
        <f t="shared" si="14"/>
        <v/>
      </c>
      <c r="O44" s="65">
        <f>IF(A43=$D$8,SUM($O$25:O43),IF(A43&gt;$D$8," ",$N$5*$D$6))</f>
        <v>1250</v>
      </c>
      <c r="P44" s="70" t="str">
        <f>IF(A43=$D$8,XIRR(H$24:H43,C$24:C43),"")</f>
        <v/>
      </c>
      <c r="Q44" s="74" t="str">
        <f t="shared" si="13"/>
        <v/>
      </c>
      <c r="R44" s="65">
        <f t="shared" ca="1" si="5"/>
        <v>12439.95647531388</v>
      </c>
      <c r="S44" s="67">
        <f t="shared" ca="1" si="6"/>
        <v>2026</v>
      </c>
      <c r="T44" s="67">
        <f t="shared" ca="1" si="7"/>
        <v>365</v>
      </c>
      <c r="U44" s="67">
        <f t="shared" ca="1" si="8"/>
        <v>10</v>
      </c>
      <c r="V44" s="72">
        <f t="shared" ca="1" si="9"/>
        <v>9</v>
      </c>
      <c r="W44" s="73">
        <f t="shared" ca="1" si="10"/>
        <v>21</v>
      </c>
      <c r="X44" s="67"/>
    </row>
    <row r="45" spans="1:24" x14ac:dyDescent="0.35">
      <c r="A45" s="68">
        <f t="shared" si="2"/>
        <v>21</v>
      </c>
      <c r="B45" s="64">
        <f t="shared" ca="1" si="21"/>
        <v>46240</v>
      </c>
      <c r="C45" s="64">
        <f t="shared" ca="1" si="4"/>
        <v>46244</v>
      </c>
      <c r="D45" s="68">
        <f t="shared" ca="1" si="19"/>
        <v>31</v>
      </c>
      <c r="E45" s="65">
        <f t="shared" ca="1" si="20"/>
        <v>126712.73401840855</v>
      </c>
      <c r="F45" s="65">
        <f ca="1">IF(AND(A44="",A46=""),"",IF(A45="",ROUND(SUM($F$25:F44),2),IF(A45=$D$8,$E$24-ROUND(SUM($F$25:F44),2),($G$9-G45))))</f>
        <v>7098.7564753138804</v>
      </c>
      <c r="G45" s="65">
        <f ca="1">IF(A44=$D$8,ROUND(SUM($G$25:G44),2),IF(A45&gt;$D$8,"",IF(T45&lt;&gt;T44,ROUND(SUM(V45*$D$9*E44/T45,W45*$D$9*E44/T44),2),ROUND(E44*$D$9*D45/T44,2))))</f>
        <v>2841.2</v>
      </c>
      <c r="H45" s="65">
        <f ca="1">IF(A44=$D$8,SUM($H$25:H44),IF(A44&gt;$D$8,"",F45+G45+O45))</f>
        <v>11189.95647531388</v>
      </c>
      <c r="I45" s="74" t="str">
        <f t="shared" si="22"/>
        <v/>
      </c>
      <c r="J45" s="74" t="str">
        <f t="shared" si="23"/>
        <v/>
      </c>
      <c r="K45" s="74" t="s">
        <v>144</v>
      </c>
      <c r="L45" s="74" t="str">
        <f t="shared" si="24"/>
        <v/>
      </c>
      <c r="M45" s="65" t="str">
        <f t="shared" si="17"/>
        <v/>
      </c>
      <c r="N45" s="65" t="str">
        <f t="shared" si="14"/>
        <v/>
      </c>
      <c r="O45" s="65">
        <f>IF(A44=$D$8,SUM($O$25:O44),IF(A44&gt;$D$8," ",$N$5*$D$6))</f>
        <v>1250</v>
      </c>
      <c r="P45" s="70" t="str">
        <f>IF(A44=$D$8,XIRR(H$24:H44,C$24:C44),"")</f>
        <v/>
      </c>
      <c r="Q45" s="74" t="str">
        <f t="shared" si="13"/>
        <v/>
      </c>
      <c r="R45" s="65">
        <f t="shared" ca="1" si="5"/>
        <v>12439.95647531388</v>
      </c>
      <c r="S45" s="67">
        <f t="shared" ca="1" si="6"/>
        <v>2026</v>
      </c>
      <c r="T45" s="67">
        <f t="shared" ca="1" si="7"/>
        <v>365</v>
      </c>
      <c r="U45" s="67">
        <f t="shared" ca="1" si="8"/>
        <v>10</v>
      </c>
      <c r="V45" s="72">
        <f t="shared" ca="1" si="9"/>
        <v>9</v>
      </c>
      <c r="W45" s="73">
        <f t="shared" ca="1" si="10"/>
        <v>22</v>
      </c>
      <c r="X45" s="67"/>
    </row>
    <row r="46" spans="1:24" x14ac:dyDescent="0.35">
      <c r="A46" s="68">
        <f t="shared" si="2"/>
        <v>22</v>
      </c>
      <c r="B46" s="64">
        <f t="shared" ca="1" si="21"/>
        <v>46271</v>
      </c>
      <c r="C46" s="64">
        <f t="shared" ca="1" si="4"/>
        <v>46275</v>
      </c>
      <c r="D46" s="68">
        <f t="shared" ca="1" si="19"/>
        <v>31</v>
      </c>
      <c r="E46" s="65">
        <f t="shared" ca="1" si="20"/>
        <v>119463.25754309466</v>
      </c>
      <c r="F46" s="65">
        <f ca="1">IF(AND(A45="",A47=""),"",IF(A46="",ROUND(SUM($F$25:F45),2),IF(A46=$D$8,$E$24-ROUND(SUM($F$25:F45),2),($G$9-G46))))</f>
        <v>7249.4764753138807</v>
      </c>
      <c r="G46" s="65">
        <f ca="1">IF(A45=$D$8,ROUND(SUM($G$25:G45),2),IF(A46&gt;$D$8,"",IF(T46&lt;&gt;T45,ROUND(SUM(V46*$D$9*E45/T46,W46*$D$9*E45/T45),2),ROUND(E45*$D$9*D46/T45,2))))</f>
        <v>2690.48</v>
      </c>
      <c r="H46" s="65">
        <f ca="1">IF(A45=$D$8,SUM($H$25:H45),IF(A45&gt;$D$8,"",F46+G46+O46))</f>
        <v>11189.95647531388</v>
      </c>
      <c r="I46" s="74" t="str">
        <f t="shared" si="22"/>
        <v/>
      </c>
      <c r="J46" s="74" t="str">
        <f t="shared" si="23"/>
        <v/>
      </c>
      <c r="K46" s="74" t="s">
        <v>144</v>
      </c>
      <c r="L46" s="74" t="str">
        <f t="shared" si="24"/>
        <v/>
      </c>
      <c r="M46" s="65" t="str">
        <f t="shared" si="17"/>
        <v/>
      </c>
      <c r="N46" s="65" t="str">
        <f t="shared" si="14"/>
        <v/>
      </c>
      <c r="O46" s="65">
        <f>IF(A45=$D$8,SUM($O$25:O45),IF(A45&gt;$D$8," ",$N$5*$D$6))</f>
        <v>1250</v>
      </c>
      <c r="P46" s="70" t="str">
        <f>IF(A45=$D$8,XIRR(H$24:H45,C$24:C45),"")</f>
        <v/>
      </c>
      <c r="Q46" s="74" t="str">
        <f t="shared" si="13"/>
        <v/>
      </c>
      <c r="R46" s="65">
        <f t="shared" ca="1" si="5"/>
        <v>12439.95647531388</v>
      </c>
      <c r="S46" s="67">
        <f t="shared" ca="1" si="6"/>
        <v>2026</v>
      </c>
      <c r="T46" s="67">
        <f t="shared" ca="1" si="7"/>
        <v>365</v>
      </c>
      <c r="U46" s="67">
        <f t="shared" ca="1" si="8"/>
        <v>10</v>
      </c>
      <c r="V46" s="72">
        <f t="shared" ca="1" si="9"/>
        <v>9</v>
      </c>
      <c r="W46" s="73">
        <f t="shared" ca="1" si="10"/>
        <v>22</v>
      </c>
      <c r="X46" s="67"/>
    </row>
    <row r="47" spans="1:24" x14ac:dyDescent="0.35">
      <c r="A47" s="68">
        <f t="shared" si="2"/>
        <v>23</v>
      </c>
      <c r="B47" s="64">
        <f t="shared" ca="1" si="21"/>
        <v>46301</v>
      </c>
      <c r="C47" s="64">
        <f t="shared" ca="1" si="4"/>
        <v>46305</v>
      </c>
      <c r="D47" s="68">
        <f t="shared" ca="1" si="19"/>
        <v>30</v>
      </c>
      <c r="E47" s="65">
        <f t="shared" ca="1" si="20"/>
        <v>111978.02106778078</v>
      </c>
      <c r="F47" s="65">
        <f ca="1">IF(AND(A46="",A48=""),"",IF(A47="",ROUND(SUM($F$25:F46),2),IF(A47=$D$8,$E$24-ROUND(SUM($F$25:F46),2),($G$9-G47))))</f>
        <v>7485.2364753138809</v>
      </c>
      <c r="G47" s="65">
        <f ca="1">IF(A46=$D$8,ROUND(SUM($G$25:G46),2),IF(A47&gt;$D$8,"",IF(T47&lt;&gt;T46,ROUND(SUM(V47*$D$9*E46/T47,W47*$D$9*E46/T46),2),ROUND(E46*$D$9*D47/T46,2))))</f>
        <v>2454.7199999999998</v>
      </c>
      <c r="H47" s="65">
        <f ca="1">IF(A46=$D$8,SUM($H$25:H46),IF(A46&gt;$D$8,"",F47+G47+O47))</f>
        <v>11189.95647531388</v>
      </c>
      <c r="I47" s="74" t="str">
        <f t="shared" si="22"/>
        <v/>
      </c>
      <c r="J47" s="74" t="str">
        <f t="shared" si="23"/>
        <v/>
      </c>
      <c r="K47" s="74" t="s">
        <v>144</v>
      </c>
      <c r="L47" s="74" t="str">
        <f t="shared" si="24"/>
        <v/>
      </c>
      <c r="M47" s="65" t="str">
        <f t="shared" si="17"/>
        <v/>
      </c>
      <c r="N47" s="65" t="str">
        <f t="shared" si="14"/>
        <v/>
      </c>
      <c r="O47" s="65">
        <f>IF(A46=$D$8,SUM($O$25:O46),IF(A46&gt;$D$8," ",$N$5*$D$6))</f>
        <v>1250</v>
      </c>
      <c r="P47" s="70" t="str">
        <f>IF(A46=$D$8,XIRR(H$24:H46,C$24:C46),"")</f>
        <v/>
      </c>
      <c r="Q47" s="74" t="str">
        <f t="shared" si="13"/>
        <v/>
      </c>
      <c r="R47" s="65">
        <f t="shared" ca="1" si="5"/>
        <v>12439.95647531388</v>
      </c>
      <c r="S47" s="67">
        <f t="shared" ca="1" si="6"/>
        <v>2026</v>
      </c>
      <c r="T47" s="67">
        <f t="shared" ca="1" si="7"/>
        <v>365</v>
      </c>
      <c r="U47" s="67">
        <f t="shared" ca="1" si="8"/>
        <v>10</v>
      </c>
      <c r="V47" s="72">
        <f t="shared" ca="1" si="9"/>
        <v>9</v>
      </c>
      <c r="W47" s="73">
        <f t="shared" ca="1" si="10"/>
        <v>21</v>
      </c>
      <c r="X47" s="67"/>
    </row>
    <row r="48" spans="1:24" x14ac:dyDescent="0.35">
      <c r="A48" s="68">
        <f t="shared" si="2"/>
        <v>24</v>
      </c>
      <c r="B48" s="64">
        <f t="shared" ca="1" si="21"/>
        <v>46332</v>
      </c>
      <c r="C48" s="64">
        <f t="shared" ca="1" si="4"/>
        <v>46336</v>
      </c>
      <c r="D48" s="68">
        <f t="shared" ca="1" si="19"/>
        <v>31</v>
      </c>
      <c r="E48" s="65">
        <f t="shared" ca="1" si="20"/>
        <v>104415.6845924669</v>
      </c>
      <c r="F48" s="65">
        <f ca="1">IF(AND(A47="",A49=""),"",IF(A48="",ROUND(SUM($F$25:F47),2),IF(A48=$D$8,$E$24-ROUND(SUM($F$25:F47),2),($G$9-G48))))</f>
        <v>7562.3364753138803</v>
      </c>
      <c r="G48" s="65">
        <f ca="1">IF(A47=$D$8,ROUND(SUM($G$25:G47),2),IF(A48&gt;$D$8,"",IF(T48&lt;&gt;T47,ROUND(SUM(V48*$D$9*E47/T48,W48*$D$9*E47/T47),2),ROUND(E47*$D$9*D48/T47,2))))</f>
        <v>2377.62</v>
      </c>
      <c r="H48" s="65">
        <f ca="1">IF(A47=$D$8,SUM($H$25:H47),IF(A47&gt;$D$8,"",F48+G48+O48))</f>
        <v>11189.95647531388</v>
      </c>
      <c r="I48" s="74" t="str">
        <f t="shared" si="22"/>
        <v/>
      </c>
      <c r="J48" s="74" t="str">
        <f t="shared" si="23"/>
        <v/>
      </c>
      <c r="K48" s="74" t="s">
        <v>144</v>
      </c>
      <c r="L48" s="74" t="str">
        <f t="shared" si="24"/>
        <v/>
      </c>
      <c r="M48" s="65" t="str">
        <f t="shared" si="17"/>
        <v/>
      </c>
      <c r="N48" s="65" t="str">
        <f t="shared" si="14"/>
        <v/>
      </c>
      <c r="O48" s="65">
        <f>IF(A47=$D$8,SUM($O$25:O47),IF(A47&gt;$D$8," ",$N$5*$D$6))</f>
        <v>1250</v>
      </c>
      <c r="P48" s="70" t="str">
        <f>IF(A47=$D$8,XIRR(H$24:H47,C$24:C47),"")</f>
        <v/>
      </c>
      <c r="Q48" s="74" t="str">
        <f t="shared" si="13"/>
        <v/>
      </c>
      <c r="R48" s="65">
        <f t="shared" ca="1" si="5"/>
        <v>12439.95647531388</v>
      </c>
      <c r="S48" s="67">
        <f t="shared" ca="1" si="6"/>
        <v>2026</v>
      </c>
      <c r="T48" s="67">
        <f t="shared" ca="1" si="7"/>
        <v>365</v>
      </c>
      <c r="U48" s="67">
        <f t="shared" ca="1" si="8"/>
        <v>10</v>
      </c>
      <c r="V48" s="72">
        <f t="shared" ca="1" si="9"/>
        <v>9</v>
      </c>
      <c r="W48" s="73">
        <f t="shared" ca="1" si="10"/>
        <v>22</v>
      </c>
      <c r="X48" s="67"/>
    </row>
    <row r="49" spans="1:24" x14ac:dyDescent="0.35">
      <c r="A49" s="68">
        <f t="shared" si="2"/>
        <v>25</v>
      </c>
      <c r="B49" s="64">
        <f t="shared" ca="1" si="21"/>
        <v>46362</v>
      </c>
      <c r="C49" s="64">
        <f t="shared" ca="1" si="4"/>
        <v>46366</v>
      </c>
      <c r="D49" s="68">
        <f t="shared" ca="1" si="19"/>
        <v>30</v>
      </c>
      <c r="E49" s="65">
        <f t="shared" ca="1" si="20"/>
        <v>96621.258117153018</v>
      </c>
      <c r="F49" s="65">
        <f ca="1">IF(AND(A48="",A50=""),"",IF(A49="",ROUND(SUM($F$25:F48),2),IF(A49=$D$8,$E$24-ROUND(SUM($F$25:F48),2),($G$9-G49))))</f>
        <v>7794.4264753138796</v>
      </c>
      <c r="G49" s="65">
        <f ca="1">IF(A48=$D$8,ROUND(SUM($G$25:G48),2),IF(A49&gt;$D$8,"",IF(T49&lt;&gt;T48,ROUND(SUM(V49*$D$9*E48/T49,W49*$D$9*E48/T48),2),ROUND(E48*$D$9*D49/T48,2))))</f>
        <v>2145.5300000000002</v>
      </c>
      <c r="H49" s="65">
        <f ca="1">IF(A48=$D$8,SUM($H$25:H48),IF(A48&gt;$D$8,"",F49+G49+O49))</f>
        <v>11189.95647531388</v>
      </c>
      <c r="I49" s="74" t="str">
        <f t="shared" si="22"/>
        <v/>
      </c>
      <c r="J49" s="74">
        <f>IF($D$8&gt;A48,$N$9,IF(A48=24,SUM($J$24:J48)," "))</f>
        <v>0</v>
      </c>
      <c r="K49" s="74">
        <f ca="1">IF($D$8&gt;24,($O$8+$N$10*E48),IF($A$48=$D$8,$K$37+$K$24,""))</f>
        <v>0</v>
      </c>
      <c r="L49" s="74" t="str">
        <f t="shared" si="24"/>
        <v/>
      </c>
      <c r="M49" s="65" t="str">
        <f t="shared" si="17"/>
        <v/>
      </c>
      <c r="N49" s="65" t="str">
        <f t="shared" si="14"/>
        <v/>
      </c>
      <c r="O49" s="65">
        <f>IF(A48=$D$8,SUM($O$25:O48),IF(A48&gt;$D$8," ",$N$5*$D$6))</f>
        <v>1250</v>
      </c>
      <c r="P49" s="70" t="str">
        <f>IF(A48=$D$8,XIRR(H$24:H48,C$24:C48),"")</f>
        <v/>
      </c>
      <c r="Q49" s="74" t="str">
        <f t="shared" si="13"/>
        <v/>
      </c>
      <c r="R49" s="65">
        <f t="shared" ca="1" si="5"/>
        <v>12439.95647531388</v>
      </c>
      <c r="S49" s="67">
        <f t="shared" ca="1" si="6"/>
        <v>2026</v>
      </c>
      <c r="T49" s="67">
        <f t="shared" ca="1" si="7"/>
        <v>365</v>
      </c>
      <c r="U49" s="67">
        <f t="shared" ca="1" si="8"/>
        <v>10</v>
      </c>
      <c r="V49" s="72">
        <f t="shared" ca="1" si="9"/>
        <v>9</v>
      </c>
      <c r="W49" s="73">
        <f t="shared" ca="1" si="10"/>
        <v>21</v>
      </c>
      <c r="X49" s="67"/>
    </row>
    <row r="50" spans="1:24" x14ac:dyDescent="0.35">
      <c r="A50" s="68">
        <f t="shared" si="2"/>
        <v>26</v>
      </c>
      <c r="B50" s="64">
        <f t="shared" ca="1" si="21"/>
        <v>46393</v>
      </c>
      <c r="C50" s="64">
        <f t="shared" ca="1" si="4"/>
        <v>46397</v>
      </c>
      <c r="D50" s="68">
        <f t="shared" ca="1" si="19"/>
        <v>31</v>
      </c>
      <c r="E50" s="65">
        <f t="shared" ca="1" si="20"/>
        <v>88732.851641839137</v>
      </c>
      <c r="F50" s="65">
        <f ca="1">IF(AND(A49="",A51=""),"",IF(A50="",ROUND(SUM($F$25:F49),2),IF(A50=$D$8,$E$24-ROUND(SUM($F$25:F49),2),($G$9-G50))))</f>
        <v>7888.40647531388</v>
      </c>
      <c r="G50" s="65">
        <f ca="1">IF(A49=$D$8,ROUND(SUM($G$25:G49),2),IF(A50&gt;$D$8,"",IF(T50&lt;&gt;T49,ROUND(SUM(V50*$D$9*E49/T50,W50*$D$9*E49/T49),2),ROUND(E49*$D$9*D50/T49,2))))</f>
        <v>2051.5500000000002</v>
      </c>
      <c r="H50" s="65">
        <f ca="1">IF(A49=$D$8,SUM($H$25:H49),IF(A49&gt;$D$8,"",F50+G50+O50))</f>
        <v>11189.95647531388</v>
      </c>
      <c r="I50" s="74" t="str">
        <f t="shared" si="22"/>
        <v/>
      </c>
      <c r="J50" s="74" t="str">
        <f t="shared" si="23"/>
        <v/>
      </c>
      <c r="K50" s="74" t="s">
        <v>144</v>
      </c>
      <c r="L50" s="74" t="str">
        <f t="shared" si="24"/>
        <v/>
      </c>
      <c r="M50" s="65" t="str">
        <f t="shared" si="17"/>
        <v/>
      </c>
      <c r="N50" s="65" t="str">
        <f t="shared" si="14"/>
        <v/>
      </c>
      <c r="O50" s="65">
        <f>IF(A49=$D$8,SUM($O$25:O49),IF(A49&gt;$D$8," ",$N$5*$D$6))</f>
        <v>1250</v>
      </c>
      <c r="P50" s="70" t="str">
        <f>IF(A49=$D$8,XIRR(H$24:H49,C$24:C49),"")</f>
        <v/>
      </c>
      <c r="Q50" s="74" t="str">
        <f t="shared" si="13"/>
        <v/>
      </c>
      <c r="R50" s="65">
        <f t="shared" ca="1" si="5"/>
        <v>12439.95647531388</v>
      </c>
      <c r="S50" s="67">
        <f t="shared" ca="1" si="6"/>
        <v>2027</v>
      </c>
      <c r="T50" s="67">
        <f t="shared" ca="1" si="7"/>
        <v>365</v>
      </c>
      <c r="U50" s="67">
        <f t="shared" ca="1" si="8"/>
        <v>10</v>
      </c>
      <c r="V50" s="72">
        <f t="shared" ca="1" si="9"/>
        <v>9</v>
      </c>
      <c r="W50" s="73">
        <f t="shared" ca="1" si="10"/>
        <v>22</v>
      </c>
      <c r="X50" s="67"/>
    </row>
    <row r="51" spans="1:24" x14ac:dyDescent="0.35">
      <c r="A51" s="68">
        <f t="shared" si="2"/>
        <v>27</v>
      </c>
      <c r="B51" s="64">
        <f t="shared" ca="1" si="21"/>
        <v>46424</v>
      </c>
      <c r="C51" s="64">
        <f t="shared" ca="1" si="4"/>
        <v>46428</v>
      </c>
      <c r="D51" s="68">
        <f t="shared" ca="1" si="19"/>
        <v>31</v>
      </c>
      <c r="E51" s="65">
        <f t="shared" ca="1" si="20"/>
        <v>80676.945166525256</v>
      </c>
      <c r="F51" s="65">
        <f ca="1">IF(AND(A50="",A52=""),"",IF(A51="",ROUND(SUM($F$25:F50),2),IF(A51=$D$8,$E$24-ROUND(SUM($F$25:F50),2),($G$9-G51))))</f>
        <v>8055.90647531388</v>
      </c>
      <c r="G51" s="65">
        <f ca="1">IF(A50=$D$8,ROUND(SUM($G$25:G50),2),IF(A51&gt;$D$8,"",IF(T51&lt;&gt;T50,ROUND(SUM(V51*$D$9*E50/T51,W51*$D$9*E50/T50),2),ROUND(E50*$D$9*D51/T50,2))))</f>
        <v>1884.05</v>
      </c>
      <c r="H51" s="65">
        <f ca="1">IF(A50=$D$8,SUM($H$25:H50),IF(A50&gt;$D$8,"",F51+G51+O51))</f>
        <v>11189.95647531388</v>
      </c>
      <c r="I51" s="74" t="str">
        <f t="shared" si="22"/>
        <v/>
      </c>
      <c r="J51" s="74" t="str">
        <f t="shared" si="23"/>
        <v/>
      </c>
      <c r="K51" s="74" t="s">
        <v>144</v>
      </c>
      <c r="L51" s="74" t="str">
        <f t="shared" si="24"/>
        <v/>
      </c>
      <c r="M51" s="65" t="str">
        <f t="shared" si="17"/>
        <v/>
      </c>
      <c r="N51" s="65" t="str">
        <f t="shared" si="14"/>
        <v/>
      </c>
      <c r="O51" s="65">
        <f>IF(A50=$D$8,SUM($O$25:O50),IF(A50&gt;$D$8," ",$N$5*$D$6))</f>
        <v>1250</v>
      </c>
      <c r="P51" s="70" t="str">
        <f>IF(A50=$D$8,XIRR(H$24:H50,C$24:C50),"")</f>
        <v/>
      </c>
      <c r="Q51" s="74" t="str">
        <f t="shared" si="13"/>
        <v/>
      </c>
      <c r="R51" s="65">
        <f t="shared" ca="1" si="5"/>
        <v>12439.95647531388</v>
      </c>
      <c r="S51" s="67">
        <f t="shared" ca="1" si="6"/>
        <v>2027</v>
      </c>
      <c r="T51" s="67">
        <f t="shared" ca="1" si="7"/>
        <v>365</v>
      </c>
      <c r="U51" s="67">
        <f t="shared" ca="1" si="8"/>
        <v>10</v>
      </c>
      <c r="V51" s="72">
        <f t="shared" ca="1" si="9"/>
        <v>9</v>
      </c>
      <c r="W51" s="73">
        <f t="shared" ca="1" si="10"/>
        <v>22</v>
      </c>
      <c r="X51" s="67"/>
    </row>
    <row r="52" spans="1:24" x14ac:dyDescent="0.35">
      <c r="A52" s="68">
        <f t="shared" si="2"/>
        <v>28</v>
      </c>
      <c r="B52" s="64">
        <f t="shared" ca="1" si="21"/>
        <v>46452</v>
      </c>
      <c r="C52" s="64">
        <f t="shared" ca="1" si="4"/>
        <v>46456</v>
      </c>
      <c r="D52" s="68">
        <f t="shared" ca="1" si="19"/>
        <v>28</v>
      </c>
      <c r="E52" s="65">
        <f t="shared" ca="1" si="20"/>
        <v>72284.218691211368</v>
      </c>
      <c r="F52" s="65">
        <f ca="1">IF(AND(A51="",A53=""),"",IF(A52="",ROUND(SUM($F$25:F51),2),IF(A52=$D$8,$E$24-ROUND(SUM($F$25:F51),2),($G$9-G52))))</f>
        <v>8392.7264753138807</v>
      </c>
      <c r="G52" s="65">
        <f ca="1">IF(A51=$D$8,ROUND(SUM($G$25:G51),2),IF(A52&gt;$D$8,"",IF(T52&lt;&gt;T51,ROUND(SUM(V52*$D$9*E51/T52,W52*$D$9*E51/T51),2),ROUND(E51*$D$9*D52/T51,2))))</f>
        <v>1547.23</v>
      </c>
      <c r="H52" s="65">
        <f ca="1">IF(A51=$D$8,SUM($H$25:H51),IF(A51&gt;$D$8,"",F52+G52+O52))</f>
        <v>11189.95647531388</v>
      </c>
      <c r="I52" s="74" t="str">
        <f t="shared" si="22"/>
        <v/>
      </c>
      <c r="J52" s="74" t="str">
        <f t="shared" si="23"/>
        <v/>
      </c>
      <c r="K52" s="74" t="s">
        <v>144</v>
      </c>
      <c r="L52" s="74" t="str">
        <f t="shared" si="24"/>
        <v/>
      </c>
      <c r="M52" s="65" t="str">
        <f t="shared" si="17"/>
        <v/>
      </c>
      <c r="N52" s="65" t="str">
        <f t="shared" si="14"/>
        <v/>
      </c>
      <c r="O52" s="65">
        <f>IF(A51=$D$8,SUM($O$25:O51),IF(A51&gt;$D$8," ",$N$5*$D$6))</f>
        <v>1250</v>
      </c>
      <c r="P52" s="70" t="str">
        <f>IF(A51=$D$8,XIRR(H$24:H51,C$24:C51),"")</f>
        <v/>
      </c>
      <c r="Q52" s="74" t="str">
        <f t="shared" si="13"/>
        <v/>
      </c>
      <c r="R52" s="65">
        <f t="shared" ca="1" si="5"/>
        <v>12439.95647531388</v>
      </c>
      <c r="S52" s="67">
        <f t="shared" ca="1" si="6"/>
        <v>2027</v>
      </c>
      <c r="T52" s="67">
        <f t="shared" ca="1" si="7"/>
        <v>365</v>
      </c>
      <c r="U52" s="67">
        <f t="shared" ca="1" si="8"/>
        <v>10</v>
      </c>
      <c r="V52" s="72">
        <f t="shared" ca="1" si="9"/>
        <v>9</v>
      </c>
      <c r="W52" s="73">
        <f t="shared" ca="1" si="10"/>
        <v>19</v>
      </c>
      <c r="X52" s="67"/>
    </row>
    <row r="53" spans="1:24" x14ac:dyDescent="0.35">
      <c r="A53" s="68">
        <f t="shared" si="2"/>
        <v>29</v>
      </c>
      <c r="B53" s="64">
        <f t="shared" ca="1" si="21"/>
        <v>46483</v>
      </c>
      <c r="C53" s="64">
        <f t="shared" ca="1" si="4"/>
        <v>46487</v>
      </c>
      <c r="D53" s="68">
        <f t="shared" ca="1" si="19"/>
        <v>31</v>
      </c>
      <c r="E53" s="65">
        <f t="shared" ca="1" si="20"/>
        <v>63879.062215897487</v>
      </c>
      <c r="F53" s="65">
        <f ca="1">IF(AND(A52="",A54=""),"",IF(A53="",ROUND(SUM($F$25:F52),2),IF(A53=$D$8,$E$24-ROUND(SUM($F$25:F52),2),($G$9-G53))))</f>
        <v>8405.1564753138809</v>
      </c>
      <c r="G53" s="65">
        <f ca="1">IF(A52=$D$8,ROUND(SUM($G$25:G52),2),IF(A53&gt;$D$8,"",IF(T53&lt;&gt;T52,ROUND(SUM(V53*$D$9*E52/T53,W53*$D$9*E52/T52),2),ROUND(E52*$D$9*D53/T52,2))))</f>
        <v>1534.8</v>
      </c>
      <c r="H53" s="65">
        <f ca="1">IF(A52=$D$8,SUM($H$25:H52),IF(A52&gt;$D$8,"",F53+G53+O53))</f>
        <v>11189.95647531388</v>
      </c>
      <c r="I53" s="74" t="str">
        <f t="shared" si="22"/>
        <v/>
      </c>
      <c r="J53" s="74" t="str">
        <f t="shared" si="23"/>
        <v/>
      </c>
      <c r="K53" s="74" t="s">
        <v>144</v>
      </c>
      <c r="L53" s="74" t="str">
        <f t="shared" si="24"/>
        <v/>
      </c>
      <c r="M53" s="65" t="str">
        <f t="shared" si="17"/>
        <v/>
      </c>
      <c r="N53" s="65" t="str">
        <f t="shared" si="14"/>
        <v/>
      </c>
      <c r="O53" s="65">
        <f>IF(A52=$D$8,SUM($O$25:O52),IF(A52&gt;$D$8," ",$N$5*$D$6))</f>
        <v>1250</v>
      </c>
      <c r="P53" s="70" t="str">
        <f>IF(A52=$D$8,XIRR(H$24:H52,C$24:C52),"")</f>
        <v/>
      </c>
      <c r="Q53" s="74" t="str">
        <f t="shared" si="13"/>
        <v/>
      </c>
      <c r="R53" s="65">
        <f t="shared" ca="1" si="5"/>
        <v>12439.95647531388</v>
      </c>
      <c r="S53" s="67">
        <f t="shared" ca="1" si="6"/>
        <v>2027</v>
      </c>
      <c r="T53" s="67">
        <f t="shared" ca="1" si="7"/>
        <v>365</v>
      </c>
      <c r="U53" s="67">
        <f t="shared" ca="1" si="8"/>
        <v>10</v>
      </c>
      <c r="V53" s="72">
        <f t="shared" ca="1" si="9"/>
        <v>9</v>
      </c>
      <c r="W53" s="73">
        <f t="shared" ca="1" si="10"/>
        <v>22</v>
      </c>
      <c r="X53" s="67"/>
    </row>
    <row r="54" spans="1:24" x14ac:dyDescent="0.35">
      <c r="A54" s="68">
        <f t="shared" si="2"/>
        <v>30</v>
      </c>
      <c r="B54" s="64">
        <f t="shared" ca="1" si="21"/>
        <v>46513</v>
      </c>
      <c r="C54" s="64">
        <f t="shared" ca="1" si="4"/>
        <v>46517</v>
      </c>
      <c r="D54" s="68">
        <f t="shared" ca="1" si="19"/>
        <v>30</v>
      </c>
      <c r="E54" s="65">
        <f t="shared" ca="1" si="20"/>
        <v>55251.685740583605</v>
      </c>
      <c r="F54" s="65">
        <f ca="1">IF(AND(A53="",A55=""),"",IF(A54="",ROUND(SUM($F$25:F53),2),IF(A54=$D$8,$E$24-ROUND(SUM($F$25:F53),2),($G$9-G54))))</f>
        <v>8627.3764753138803</v>
      </c>
      <c r="G54" s="65">
        <f ca="1">IF(A53=$D$8,ROUND(SUM($G$25:G53),2),IF(A54&gt;$D$8,"",IF(T54&lt;&gt;T53,ROUND(SUM(V54*$D$9*E53/T54,W54*$D$9*E53/T53),2),ROUND(E53*$D$9*D54/T53,2))))</f>
        <v>1312.58</v>
      </c>
      <c r="H54" s="65">
        <f ca="1">IF(A53=$D$8,SUM($H$25:H53),IF(A53&gt;$D$8,"",F54+G54+O54))</f>
        <v>11189.95647531388</v>
      </c>
      <c r="I54" s="74" t="str">
        <f t="shared" si="22"/>
        <v/>
      </c>
      <c r="J54" s="74" t="str">
        <f t="shared" si="23"/>
        <v/>
      </c>
      <c r="K54" s="74" t="s">
        <v>144</v>
      </c>
      <c r="L54" s="74" t="str">
        <f t="shared" si="24"/>
        <v/>
      </c>
      <c r="M54" s="65" t="str">
        <f t="shared" si="17"/>
        <v/>
      </c>
      <c r="N54" s="65" t="str">
        <f t="shared" si="14"/>
        <v/>
      </c>
      <c r="O54" s="65">
        <f>IF(A53=$D$8,SUM($O$25:O53),IF(A53&gt;$D$8," ",$N$5*$D$6))</f>
        <v>1250</v>
      </c>
      <c r="P54" s="70" t="str">
        <f>IF(A53=$D$8,XIRR(H$24:H53,C$24:C53),"")</f>
        <v/>
      </c>
      <c r="Q54" s="74" t="str">
        <f t="shared" si="13"/>
        <v/>
      </c>
      <c r="R54" s="65">
        <f t="shared" ca="1" si="5"/>
        <v>12439.95647531388</v>
      </c>
      <c r="S54" s="67">
        <f t="shared" ca="1" si="6"/>
        <v>2027</v>
      </c>
      <c r="T54" s="67">
        <f t="shared" ca="1" si="7"/>
        <v>365</v>
      </c>
      <c r="U54" s="67">
        <f t="shared" ca="1" si="8"/>
        <v>10</v>
      </c>
      <c r="V54" s="72">
        <f t="shared" ca="1" si="9"/>
        <v>9</v>
      </c>
      <c r="W54" s="73">
        <f t="shared" ca="1" si="10"/>
        <v>21</v>
      </c>
      <c r="X54" s="67"/>
    </row>
    <row r="55" spans="1:24" x14ac:dyDescent="0.35">
      <c r="A55" s="68">
        <f t="shared" si="2"/>
        <v>31</v>
      </c>
      <c r="B55" s="64">
        <f t="shared" ca="1" si="21"/>
        <v>46544</v>
      </c>
      <c r="C55" s="64">
        <f t="shared" ca="1" si="4"/>
        <v>46548</v>
      </c>
      <c r="D55" s="68">
        <f t="shared" ca="1" si="19"/>
        <v>31</v>
      </c>
      <c r="E55" s="65">
        <f t="shared" ca="1" si="20"/>
        <v>46484.879265269723</v>
      </c>
      <c r="F55" s="65">
        <f ca="1">IF(AND(A54="",A56=""),"",IF(A55="",ROUND(SUM($F$25:F54),2),IF(A55=$D$8,$E$24-ROUND(SUM($F$25:F54),2),($G$9-G55))))</f>
        <v>8766.8064753138806</v>
      </c>
      <c r="G55" s="65">
        <f ca="1">IF(A54=$D$8,ROUND(SUM($G$25:G54),2),IF(A55&gt;$D$8,"",IF(T55&lt;&gt;T54,ROUND(SUM(V55*$D$9*E54/T55,W55*$D$9*E54/T54),2),ROUND(E54*$D$9*D55/T54,2))))</f>
        <v>1173.1500000000001</v>
      </c>
      <c r="H55" s="65">
        <f ca="1">IF(A54=$D$8,SUM($H$25:H54),IF(A54&gt;$D$8,"",F55+G55+O55))</f>
        <v>11189.95647531388</v>
      </c>
      <c r="I55" s="74" t="str">
        <f t="shared" si="22"/>
        <v/>
      </c>
      <c r="J55" s="74" t="str">
        <f t="shared" si="23"/>
        <v/>
      </c>
      <c r="K55" s="74" t="s">
        <v>144</v>
      </c>
      <c r="L55" s="74" t="str">
        <f t="shared" si="24"/>
        <v/>
      </c>
      <c r="M55" s="65" t="str">
        <f t="shared" si="17"/>
        <v/>
      </c>
      <c r="N55" s="65" t="str">
        <f t="shared" si="14"/>
        <v/>
      </c>
      <c r="O55" s="65">
        <f>IF(A54=$D$8,SUM($O$25:O54),IF(A54&gt;$D$8," ",$N$5*$D$6))</f>
        <v>1250</v>
      </c>
      <c r="P55" s="70" t="str">
        <f>IF(A54=$D$8,XIRR(H$24:H54,C$24:C54),"")</f>
        <v/>
      </c>
      <c r="Q55" s="74" t="str">
        <f t="shared" si="13"/>
        <v/>
      </c>
      <c r="R55" s="65">
        <f t="shared" ca="1" si="5"/>
        <v>12439.95647531388</v>
      </c>
      <c r="S55" s="67">
        <f t="shared" ca="1" si="6"/>
        <v>2027</v>
      </c>
      <c r="T55" s="67">
        <f t="shared" ca="1" si="7"/>
        <v>365</v>
      </c>
      <c r="U55" s="67">
        <f t="shared" ca="1" si="8"/>
        <v>10</v>
      </c>
      <c r="V55" s="72">
        <f t="shared" ca="1" si="9"/>
        <v>9</v>
      </c>
      <c r="W55" s="73">
        <f t="shared" ca="1" si="10"/>
        <v>22</v>
      </c>
      <c r="X55" s="67"/>
    </row>
    <row r="56" spans="1:24" x14ac:dyDescent="0.35">
      <c r="A56" s="68">
        <f t="shared" si="2"/>
        <v>32</v>
      </c>
      <c r="B56" s="64">
        <f t="shared" ca="1" si="21"/>
        <v>46574</v>
      </c>
      <c r="C56" s="64">
        <f t="shared" ca="1" si="4"/>
        <v>46578</v>
      </c>
      <c r="D56" s="68">
        <f t="shared" ca="1" si="19"/>
        <v>30</v>
      </c>
      <c r="E56" s="65">
        <f t="shared" ca="1" si="20"/>
        <v>37500.092789955845</v>
      </c>
      <c r="F56" s="65">
        <f ca="1">IF(AND(A55="",A57=""),"",IF(A56="",ROUND(SUM($F$25:F55),2),IF(A56=$D$8,$E$24-ROUND(SUM($F$25:F55),2),($G$9-G56))))</f>
        <v>8984.7864753138801</v>
      </c>
      <c r="G56" s="65">
        <f ca="1">IF(A55=$D$8,ROUND(SUM($G$25:G55),2),IF(A56&gt;$D$8,"",IF(T56&lt;&gt;T55,ROUND(SUM(V56*$D$9*E55/T56,W56*$D$9*E55/T55),2),ROUND(E55*$D$9*D56/T55,2))))</f>
        <v>955.17</v>
      </c>
      <c r="H56" s="65">
        <f ca="1">IF(A55=$D$8,SUM($H$25:H55),IF(A55&gt;$D$8,"",F56+G56+O56))</f>
        <v>11189.95647531388</v>
      </c>
      <c r="I56" s="74" t="str">
        <f t="shared" si="22"/>
        <v/>
      </c>
      <c r="J56" s="74" t="str">
        <f t="shared" si="23"/>
        <v/>
      </c>
      <c r="K56" s="74" t="s">
        <v>144</v>
      </c>
      <c r="L56" s="74" t="str">
        <f t="shared" si="24"/>
        <v/>
      </c>
      <c r="M56" s="65" t="str">
        <f t="shared" si="17"/>
        <v/>
      </c>
      <c r="N56" s="65" t="str">
        <f t="shared" si="14"/>
        <v/>
      </c>
      <c r="O56" s="65">
        <f>IF(A55=$D$8,SUM($O$25:O55),IF(A55&gt;$D$8," ",$N$5*$D$6))</f>
        <v>1250</v>
      </c>
      <c r="P56" s="70" t="str">
        <f>IF(A55=$D$8,XIRR(H$24:H55,C$24:C55),"")</f>
        <v/>
      </c>
      <c r="Q56" s="74" t="str">
        <f t="shared" si="13"/>
        <v/>
      </c>
      <c r="R56" s="65">
        <f t="shared" ca="1" si="5"/>
        <v>12439.95647531388</v>
      </c>
      <c r="S56" s="67">
        <f t="shared" ca="1" si="6"/>
        <v>2027</v>
      </c>
      <c r="T56" s="67">
        <f t="shared" ca="1" si="7"/>
        <v>365</v>
      </c>
      <c r="U56" s="67">
        <f t="shared" ca="1" si="8"/>
        <v>10</v>
      </c>
      <c r="V56" s="72">
        <f t="shared" ca="1" si="9"/>
        <v>9</v>
      </c>
      <c r="W56" s="73">
        <f t="shared" ca="1" si="10"/>
        <v>21</v>
      </c>
      <c r="X56" s="67"/>
    </row>
    <row r="57" spans="1:24" x14ac:dyDescent="0.35">
      <c r="A57" s="68">
        <f t="shared" si="2"/>
        <v>33</v>
      </c>
      <c r="B57" s="64">
        <f t="shared" ca="1" si="21"/>
        <v>46605</v>
      </c>
      <c r="C57" s="64">
        <f t="shared" ca="1" si="4"/>
        <v>46609</v>
      </c>
      <c r="D57" s="68">
        <f t="shared" ca="1" si="19"/>
        <v>31</v>
      </c>
      <c r="E57" s="65">
        <f t="shared" ca="1" si="20"/>
        <v>28356.366314641964</v>
      </c>
      <c r="F57" s="65">
        <f ca="1">IF(AND(A56="",A58=""),"",IF(A57="",ROUND(SUM($F$25:F56),2),IF(A57=$D$8,$E$24-ROUND(SUM($F$25:F56),2),($G$9-G57))))</f>
        <v>9143.7264753138807</v>
      </c>
      <c r="G57" s="65">
        <f ca="1">IF(A56=$D$8,ROUND(SUM($G$25:G56),2),IF(A57&gt;$D$8,"",IF(T57&lt;&gt;T56,ROUND(SUM(V57*$D$9*E56/T57,W57*$D$9*E56/T56),2),ROUND(E56*$D$9*D57/T56,2))))</f>
        <v>796.23</v>
      </c>
      <c r="H57" s="65">
        <f ca="1">IF(A56=$D$8,SUM($H$25:H56),IF(A56&gt;$D$8,"",F57+G57+O57))</f>
        <v>11189.95647531388</v>
      </c>
      <c r="I57" s="74" t="str">
        <f t="shared" si="22"/>
        <v/>
      </c>
      <c r="J57" s="74" t="str">
        <f t="shared" si="23"/>
        <v/>
      </c>
      <c r="K57" s="74" t="s">
        <v>144</v>
      </c>
      <c r="L57" s="74" t="str">
        <f t="shared" si="24"/>
        <v/>
      </c>
      <c r="M57" s="65" t="str">
        <f t="shared" si="17"/>
        <v/>
      </c>
      <c r="N57" s="65" t="str">
        <f t="shared" si="14"/>
        <v/>
      </c>
      <c r="O57" s="65">
        <f>IF(A56=$D$8,SUM($O$25:O56),IF(A56&gt;$D$8," ",$N$5*$D$6))</f>
        <v>1250</v>
      </c>
      <c r="P57" s="70" t="str">
        <f>IF(A56=$D$8,XIRR(H$24:H56,C$24:C56),"")</f>
        <v/>
      </c>
      <c r="Q57" s="74" t="str">
        <f t="shared" si="13"/>
        <v/>
      </c>
      <c r="R57" s="65">
        <f t="shared" ca="1" si="5"/>
        <v>12439.95647531388</v>
      </c>
      <c r="S57" s="67">
        <f t="shared" ca="1" si="6"/>
        <v>2027</v>
      </c>
      <c r="T57" s="67">
        <f t="shared" ca="1" si="7"/>
        <v>365</v>
      </c>
      <c r="U57" s="67">
        <f t="shared" ca="1" si="8"/>
        <v>10</v>
      </c>
      <c r="V57" s="72">
        <f t="shared" ca="1" si="9"/>
        <v>9</v>
      </c>
      <c r="W57" s="73">
        <f t="shared" ca="1" si="10"/>
        <v>22</v>
      </c>
      <c r="X57" s="67"/>
    </row>
    <row r="58" spans="1:24" x14ac:dyDescent="0.35">
      <c r="A58" s="68">
        <f t="shared" si="2"/>
        <v>34</v>
      </c>
      <c r="B58" s="64">
        <f t="shared" ca="1" si="21"/>
        <v>46636</v>
      </c>
      <c r="C58" s="64">
        <f t="shared" ca="1" si="4"/>
        <v>46640</v>
      </c>
      <c r="D58" s="68">
        <f t="shared" ca="1" si="19"/>
        <v>31</v>
      </c>
      <c r="E58" s="65">
        <f t="shared" ca="1" si="20"/>
        <v>19018.499839328084</v>
      </c>
      <c r="F58" s="65">
        <f ca="1">IF(AND(A57="",A59=""),"",IF(A58="",ROUND(SUM($F$25:F57),2),IF(A58=$D$8,$E$24-ROUND(SUM($F$25:F57),2),($G$9-G58))))</f>
        <v>9337.8664753138801</v>
      </c>
      <c r="G58" s="65">
        <f ca="1">IF(A57=$D$8,ROUND(SUM($G$25:G57),2),IF(A58&gt;$D$8,"",IF(T58&lt;&gt;T57,ROUND(SUM(V58*$D$9*E57/T58,W58*$D$9*E57/T57),2),ROUND(E57*$D$9*D58/T57,2))))</f>
        <v>602.09</v>
      </c>
      <c r="H58" s="65">
        <f ca="1">IF(A57=$D$8,SUM($H$25:H57),IF(A57&gt;$D$8,"",F58+G58+O58))</f>
        <v>11189.95647531388</v>
      </c>
      <c r="I58" s="74" t="str">
        <f t="shared" si="22"/>
        <v/>
      </c>
      <c r="J58" s="74" t="str">
        <f t="shared" si="23"/>
        <v/>
      </c>
      <c r="K58" s="74" t="s">
        <v>144</v>
      </c>
      <c r="L58" s="74" t="str">
        <f t="shared" si="24"/>
        <v/>
      </c>
      <c r="M58" s="65" t="str">
        <f t="shared" si="17"/>
        <v/>
      </c>
      <c r="N58" s="65" t="str">
        <f t="shared" si="14"/>
        <v/>
      </c>
      <c r="O58" s="65">
        <f>IF(A57=$D$8,SUM($O$25:O57),IF(A57&gt;$D$8," ",$N$5*$D$6))</f>
        <v>1250</v>
      </c>
      <c r="P58" s="70" t="str">
        <f>IF(A57=$D$8,XIRR(H$24:H57,C$24:C57),"")</f>
        <v/>
      </c>
      <c r="Q58" s="74" t="str">
        <f t="shared" si="13"/>
        <v/>
      </c>
      <c r="R58" s="65">
        <f t="shared" ca="1" si="5"/>
        <v>12439.95647531388</v>
      </c>
      <c r="S58" s="67">
        <f t="shared" ca="1" si="6"/>
        <v>2027</v>
      </c>
      <c r="T58" s="67">
        <f t="shared" ca="1" si="7"/>
        <v>365</v>
      </c>
      <c r="U58" s="67">
        <f t="shared" ca="1" si="8"/>
        <v>10</v>
      </c>
      <c r="V58" s="72">
        <f t="shared" ca="1" si="9"/>
        <v>9</v>
      </c>
      <c r="W58" s="73">
        <f t="shared" ca="1" si="10"/>
        <v>22</v>
      </c>
      <c r="X58" s="67"/>
    </row>
    <row r="59" spans="1:24" x14ac:dyDescent="0.35">
      <c r="A59" s="68">
        <f t="shared" si="2"/>
        <v>35</v>
      </c>
      <c r="B59" s="64">
        <f t="shared" ca="1" si="21"/>
        <v>46666</v>
      </c>
      <c r="C59" s="64">
        <f t="shared" ca="1" si="4"/>
        <v>46670</v>
      </c>
      <c r="D59" s="68">
        <f t="shared" ca="1" si="19"/>
        <v>30</v>
      </c>
      <c r="E59" s="65">
        <f t="shared" ca="1" si="20"/>
        <v>9469.3333640142046</v>
      </c>
      <c r="F59" s="65">
        <f ca="1">IF(AND(A58="",A60=""),"",IF(A59="",ROUND(SUM($F$25:F58),2),IF(A59=$D$8,$E$24-ROUND(SUM($F$25:F58),2),($G$9-G59))))</f>
        <v>9549.1664753138793</v>
      </c>
      <c r="G59" s="65">
        <f ca="1">IF(A58=$D$8,ROUND(SUM($G$25:G58),2),IF(A59&gt;$D$8,"",IF(T59&lt;&gt;T58,ROUND(SUM(V59*$D$9*E58/T59,W59*$D$9*E58/T58),2),ROUND(E58*$D$9*D59/T58,2))))</f>
        <v>390.79</v>
      </c>
      <c r="H59" s="65">
        <f ca="1">IF(A58=$D$8,SUM($H$25:H58),IF(A58&gt;$D$8,"",F59+G59+O59))</f>
        <v>11189.95647531388</v>
      </c>
      <c r="I59" s="74" t="str">
        <f t="shared" si="22"/>
        <v/>
      </c>
      <c r="J59" s="74" t="str">
        <f t="shared" si="23"/>
        <v/>
      </c>
      <c r="K59" s="74" t="s">
        <v>145</v>
      </c>
      <c r="L59" s="74" t="str">
        <f t="shared" si="24"/>
        <v/>
      </c>
      <c r="M59" s="65" t="str">
        <f t="shared" si="17"/>
        <v/>
      </c>
      <c r="N59" s="65" t="str">
        <f t="shared" si="14"/>
        <v/>
      </c>
      <c r="O59" s="65">
        <f>IF(A58=$D$8,SUM($O$25:O58),IF(A58&gt;$D$8," ",$N$5*$D$6))</f>
        <v>1250</v>
      </c>
      <c r="P59" s="70" t="str">
        <f>IF(A58=$D$8,XIRR(H$24:H58,C$24:C58),"")</f>
        <v/>
      </c>
      <c r="Q59" s="74" t="str">
        <f t="shared" si="13"/>
        <v/>
      </c>
      <c r="R59" s="65">
        <f t="shared" ca="1" si="5"/>
        <v>12439.95647531388</v>
      </c>
      <c r="S59" s="67">
        <f t="shared" ca="1" si="6"/>
        <v>2027</v>
      </c>
      <c r="T59" s="67">
        <f t="shared" ca="1" si="7"/>
        <v>365</v>
      </c>
      <c r="U59" s="67">
        <f t="shared" ca="1" si="8"/>
        <v>10</v>
      </c>
      <c r="V59" s="72">
        <f t="shared" ca="1" si="9"/>
        <v>9</v>
      </c>
      <c r="W59" s="73">
        <f t="shared" ca="1" si="10"/>
        <v>21</v>
      </c>
      <c r="X59" s="67"/>
    </row>
    <row r="60" spans="1:24" x14ac:dyDescent="0.35">
      <c r="A60" s="68">
        <f t="shared" si="2"/>
        <v>36</v>
      </c>
      <c r="B60" s="64">
        <f t="shared" ca="1" si="21"/>
        <v>46697</v>
      </c>
      <c r="C60" s="64">
        <f t="shared" ca="1" si="4"/>
        <v>46701</v>
      </c>
      <c r="D60" s="68">
        <f t="shared" ca="1" si="19"/>
        <v>31</v>
      </c>
      <c r="E60" s="65">
        <f t="shared" ca="1" si="20"/>
        <v>3.3640142173680943E-3</v>
      </c>
      <c r="F60" s="65">
        <f ca="1">IF(AND(A59="",A61=""),"",IF(A60="",ROUND(SUM($F$25:F59),2),IF(A60=$D$8,$E$24-ROUND(SUM($F$25:F59),2),($G$9-G60))))</f>
        <v>9469.3299999999872</v>
      </c>
      <c r="G60" s="65">
        <f ca="1">IF(A59=$D$8,ROUND(SUM($G$25:G59),2),IF(A60&gt;$D$8,"",IF(T60&lt;&gt;T59,ROUND(SUM(V60*$D$9*E59/T60,W60*$D$9*E59/T59),2),ROUND(E59*$D$9*D60/T59,2))))</f>
        <v>201.06</v>
      </c>
      <c r="H60" s="65">
        <f ca="1">IF(A59=$D$8,SUM($H$25:H59),IF(A59&gt;$D$8,"",F60+G60+O60))</f>
        <v>10920.389999999987</v>
      </c>
      <c r="I60" s="74" t="str">
        <f t="shared" si="22"/>
        <v/>
      </c>
      <c r="J60" s="74" t="str">
        <f t="shared" si="23"/>
        <v/>
      </c>
      <c r="K60" s="74" t="s">
        <v>144</v>
      </c>
      <c r="L60" s="74" t="str">
        <f t="shared" si="24"/>
        <v/>
      </c>
      <c r="M60" s="65" t="str">
        <f t="shared" si="17"/>
        <v/>
      </c>
      <c r="N60" s="65" t="str">
        <f t="shared" si="14"/>
        <v/>
      </c>
      <c r="O60" s="65">
        <f>IF(A59=$D$8,SUM($O$25:O59),IF(A59&gt;$D$8," ",$N$5*$D$6))</f>
        <v>1250</v>
      </c>
      <c r="P60" s="70" t="str">
        <f>IF(A59=$D$8,XIRR(H$24:H59,C$24:C59),"")</f>
        <v/>
      </c>
      <c r="Q60" s="74" t="str">
        <f t="shared" si="13"/>
        <v/>
      </c>
      <c r="R60" s="65">
        <f t="shared" ca="1" si="5"/>
        <v>12170.389999999987</v>
      </c>
      <c r="S60" s="67">
        <f t="shared" ca="1" si="6"/>
        <v>2027</v>
      </c>
      <c r="T60" s="67">
        <f t="shared" ca="1" si="7"/>
        <v>365</v>
      </c>
      <c r="U60" s="67">
        <f t="shared" ca="1" si="8"/>
        <v>10</v>
      </c>
      <c r="V60" s="72">
        <f t="shared" ca="1" si="9"/>
        <v>9</v>
      </c>
      <c r="W60" s="73">
        <f t="shared" ca="1" si="10"/>
        <v>22</v>
      </c>
      <c r="X60" s="67"/>
    </row>
    <row r="61" spans="1:24" x14ac:dyDescent="0.35">
      <c r="A61" s="68" t="str">
        <f t="shared" si="2"/>
        <v/>
      </c>
      <c r="B61" s="64" t="str">
        <f t="shared" si="21"/>
        <v/>
      </c>
      <c r="C61" s="64" t="str">
        <f t="shared" si="4"/>
        <v/>
      </c>
      <c r="D61" s="68" t="str">
        <f t="shared" si="19"/>
        <v/>
      </c>
      <c r="E61" s="65" t="str">
        <f t="shared" si="20"/>
        <v/>
      </c>
      <c r="F61" s="65">
        <f ca="1">IF(AND(A60="",A62=""),"",IF(A61="",ROUND(SUM($F$25:F60),2),IF(A61=$D$8,$E$24-ROUND(SUM($F$25:F60),2),($G$9-G61))))</f>
        <v>250000</v>
      </c>
      <c r="G61" s="65">
        <f ca="1">IF(A60=$D$8,ROUND(SUM($G$25:G60),2),IF(A61&gt;$D$8,"",IF(T61&lt;&gt;T60,ROUND(SUM(V61*$D$9*E60/T61,W61*$D$9*E60/T60),2),ROUND(E60*$D$9*D61/T60,2))))</f>
        <v>107568.87</v>
      </c>
      <c r="H61" s="65">
        <f ca="1">IF(A60=$D$8,SUM($H$25:H60),IF(A60&gt;$D$8,"",F61+G61+O61))</f>
        <v>402568.86663598561</v>
      </c>
      <c r="I61" s="74">
        <f t="shared" si="22"/>
        <v>0</v>
      </c>
      <c r="J61" s="74">
        <f>IF($D$8&gt;A60,$N$9,IF(A60=36,SUM($J$24:J60)," "))</f>
        <v>0</v>
      </c>
      <c r="K61" s="74">
        <f ca="1">IF($D$8&gt;36,($O$8+$N$10*E60),IF($A$60=$D$8,$K$37+$K$24+$K$49,""))</f>
        <v>0</v>
      </c>
      <c r="L61" s="74">
        <f t="shared" si="24"/>
        <v>0</v>
      </c>
      <c r="M61" s="65">
        <f t="shared" si="17"/>
        <v>6250</v>
      </c>
      <c r="N61" s="65">
        <f t="shared" si="14"/>
        <v>0</v>
      </c>
      <c r="O61" s="65">
        <f>IF(A60=$D$8,SUM($O$25:O60),IF(A60&gt;$D$8," ",$N$5*$D$6))</f>
        <v>45000</v>
      </c>
      <c r="P61" s="70">
        <f ca="1">IF(A60=$D$8,XIRR(H$24:H60,C$24:C60),"")</f>
        <v>0.42420840859413156</v>
      </c>
      <c r="Q61" s="74">
        <f t="shared" ca="1" si="13"/>
        <v>408818.87</v>
      </c>
      <c r="R61" s="65">
        <f t="shared" ca="1" si="5"/>
        <v>862638.16084439424</v>
      </c>
      <c r="S61" s="67" t="str">
        <f t="shared" si="6"/>
        <v/>
      </c>
      <c r="T61" s="67">
        <f t="shared" si="7"/>
        <v>365</v>
      </c>
      <c r="U61" s="67" t="str">
        <f t="shared" si="8"/>
        <v/>
      </c>
      <c r="V61" s="72" t="e">
        <f t="shared" si="9"/>
        <v>#VALUE!</v>
      </c>
      <c r="W61" s="73" t="e">
        <f t="shared" si="10"/>
        <v>#VALUE!</v>
      </c>
      <c r="X61" s="67"/>
    </row>
    <row r="62" spans="1:24" x14ac:dyDescent="0.35">
      <c r="A62" s="68" t="str">
        <f t="shared" si="2"/>
        <v/>
      </c>
      <c r="B62" s="64" t="str">
        <f t="shared" si="21"/>
        <v/>
      </c>
      <c r="C62" s="64" t="str">
        <f t="shared" si="4"/>
        <v/>
      </c>
      <c r="D62" s="68" t="str">
        <f t="shared" si="19"/>
        <v/>
      </c>
      <c r="E62" s="65" t="str">
        <f t="shared" si="20"/>
        <v/>
      </c>
      <c r="F62" s="65" t="str">
        <f>IF(AND(A61="",A63=""),"",IF(A62="",ROUND(SUM($F$25:F61),2),IF(A62=$D$8,$E$24-ROUND(SUM($F$25:F61),2),($G$9-G62))))</f>
        <v/>
      </c>
      <c r="G62" s="65" t="str">
        <f>IF(A61=$D$8,ROUND(SUM($G$25:G61),2),IF(A62&gt;$D$8,"",IF(T62&lt;&gt;T61,ROUND(SUM(V62*$D$9*E61/T62,W62*$D$9*E61/T61),2),ROUND(E61*$D$9*D62/T61,2))))</f>
        <v/>
      </c>
      <c r="H62" s="65" t="str">
        <f>IF(A61=$D$8,SUM($H$25:H61),IF(A61&gt;$D$8,"",F62+G62+O62))</f>
        <v/>
      </c>
      <c r="I62" s="74" t="str">
        <f t="shared" si="22"/>
        <v/>
      </c>
      <c r="J62" s="74" t="str">
        <f t="shared" si="23"/>
        <v/>
      </c>
      <c r="K62" s="74" t="s">
        <v>144</v>
      </c>
      <c r="L62" s="74" t="str">
        <f t="shared" si="24"/>
        <v/>
      </c>
      <c r="M62" s="65" t="str">
        <f t="shared" si="17"/>
        <v/>
      </c>
      <c r="N62" s="65" t="str">
        <f t="shared" si="14"/>
        <v/>
      </c>
      <c r="O62" s="65" t="str">
        <f>IF(A61=$D$8,SUM($O$25:O61),IF(A61&gt;$D$8," ",$N$5*$D$6))</f>
        <v xml:space="preserve"> </v>
      </c>
      <c r="P62" s="70" t="str">
        <f>IF(A61=$D$8,XIRR(H$24:H61,C$24:C61),"")</f>
        <v/>
      </c>
      <c r="Q62" s="74" t="str">
        <f t="shared" si="13"/>
        <v/>
      </c>
      <c r="R62" s="65">
        <f t="shared" si="5"/>
        <v>0</v>
      </c>
      <c r="S62" s="67" t="str">
        <f t="shared" si="6"/>
        <v/>
      </c>
      <c r="T62" s="67">
        <f t="shared" si="7"/>
        <v>365</v>
      </c>
      <c r="U62" s="67" t="str">
        <f t="shared" si="8"/>
        <v/>
      </c>
      <c r="V62" s="72" t="e">
        <f t="shared" si="9"/>
        <v>#VALUE!</v>
      </c>
      <c r="W62" s="73" t="e">
        <f t="shared" si="10"/>
        <v>#VALUE!</v>
      </c>
      <c r="X62" s="67"/>
    </row>
    <row r="63" spans="1:24" x14ac:dyDescent="0.35">
      <c r="A63" s="68" t="str">
        <f t="shared" si="2"/>
        <v/>
      </c>
      <c r="B63" s="64" t="str">
        <f t="shared" si="21"/>
        <v/>
      </c>
      <c r="C63" s="64" t="str">
        <f t="shared" si="4"/>
        <v/>
      </c>
      <c r="D63" s="68" t="str">
        <f t="shared" si="19"/>
        <v/>
      </c>
      <c r="E63" s="65" t="str">
        <f t="shared" si="20"/>
        <v/>
      </c>
      <c r="F63" s="65" t="str">
        <f>IF(AND(A62="",A64=""),"",IF(A63="",ROUND(SUM($F$25:F62),2),IF(A63=$D$8,$E$24-ROUND(SUM($F$25:F62),2),($G$9-G63))))</f>
        <v/>
      </c>
      <c r="G63" s="65" t="str">
        <f>IF(A62=$D$8,ROUND(SUM($G$25:G62),2),IF(A63&gt;$D$8,"",IF(T63&lt;&gt;T62,ROUND(SUM(V63*$D$9*E62/T63,W63*$D$9*E62/T62),2),ROUND(E62*$D$9*D63/T62,2))))</f>
        <v/>
      </c>
      <c r="H63" s="65" t="str">
        <f>IF(A62=$D$8,SUM($H$25:H62),IF(A62&gt;$D$8,"",F63+G63+O63))</f>
        <v/>
      </c>
      <c r="I63" s="74" t="str">
        <f t="shared" si="22"/>
        <v/>
      </c>
      <c r="J63" s="74" t="str">
        <f t="shared" si="23"/>
        <v/>
      </c>
      <c r="K63" s="74" t="s">
        <v>144</v>
      </c>
      <c r="L63" s="74" t="str">
        <f t="shared" si="24"/>
        <v/>
      </c>
      <c r="M63" s="65" t="str">
        <f t="shared" si="17"/>
        <v/>
      </c>
      <c r="N63" s="65" t="str">
        <f t="shared" si="14"/>
        <v/>
      </c>
      <c r="O63" s="65" t="str">
        <f>IF(A62=$D$8,SUM($O$25:O62),IF(A62&gt;$D$8," ",$N$5*$D$6))</f>
        <v xml:space="preserve"> </v>
      </c>
      <c r="P63" s="70" t="str">
        <f>IF(A62=$D$8,XIRR(H$24:H62,C$24:C62),"")</f>
        <v/>
      </c>
      <c r="Q63" s="74" t="str">
        <f t="shared" si="13"/>
        <v/>
      </c>
      <c r="R63" s="65">
        <f t="shared" si="5"/>
        <v>0</v>
      </c>
      <c r="S63" s="67" t="str">
        <f t="shared" si="6"/>
        <v/>
      </c>
      <c r="T63" s="67">
        <f t="shared" si="7"/>
        <v>365</v>
      </c>
      <c r="U63" s="67" t="str">
        <f t="shared" si="8"/>
        <v/>
      </c>
      <c r="V63" s="72" t="e">
        <f t="shared" si="9"/>
        <v>#VALUE!</v>
      </c>
      <c r="W63" s="73" t="e">
        <f t="shared" si="10"/>
        <v>#VALUE!</v>
      </c>
      <c r="X63" s="67"/>
    </row>
    <row r="64" spans="1:24" x14ac:dyDescent="0.35">
      <c r="A64" s="68" t="str">
        <f t="shared" si="2"/>
        <v/>
      </c>
      <c r="B64" s="64" t="str">
        <f t="shared" si="21"/>
        <v/>
      </c>
      <c r="C64" s="64" t="str">
        <f t="shared" si="4"/>
        <v/>
      </c>
      <c r="D64" s="68" t="str">
        <f t="shared" si="19"/>
        <v/>
      </c>
      <c r="E64" s="65" t="str">
        <f t="shared" si="20"/>
        <v/>
      </c>
      <c r="F64" s="65" t="str">
        <f>IF(AND(A63="",A65=""),"",IF(A64="",ROUND(SUM($F$25:F63),2),IF(A64=$D$8,$E$24-ROUND(SUM($F$25:F63),2),($G$9-G64))))</f>
        <v/>
      </c>
      <c r="G64" s="65" t="str">
        <f>IF(A63=$D$8,ROUND(SUM($G$25:G63),2),IF(A64&gt;$D$8,"",IF(T64&lt;&gt;T63,ROUND(SUM(V64*$D$9*E63/T64,W64*$D$9*E63/T63),2),ROUND(E63*$D$9*D64/T63,2))))</f>
        <v/>
      </c>
      <c r="H64" s="65" t="str">
        <f>IF(A63=$D$8,SUM($H$25:H63),IF(A63&gt;$D$8,"",F64+G64+O64))</f>
        <v/>
      </c>
      <c r="I64" s="74" t="str">
        <f t="shared" si="22"/>
        <v/>
      </c>
      <c r="J64" s="74" t="str">
        <f t="shared" si="23"/>
        <v/>
      </c>
      <c r="K64" s="74" t="s">
        <v>144</v>
      </c>
      <c r="L64" s="74" t="str">
        <f t="shared" si="24"/>
        <v/>
      </c>
      <c r="M64" s="65" t="str">
        <f t="shared" si="17"/>
        <v/>
      </c>
      <c r="N64" s="65" t="str">
        <f t="shared" si="14"/>
        <v/>
      </c>
      <c r="O64" s="65" t="str">
        <f>IF(A63=$D$8,SUM($O$25:O63),IF(A63&gt;$D$8," ",$N$5*$D$6))</f>
        <v xml:space="preserve"> </v>
      </c>
      <c r="P64" s="70" t="str">
        <f>IF(A63=$D$8,XIRR(H$24:H63,C$24:C63),"")</f>
        <v/>
      </c>
      <c r="Q64" s="74" t="str">
        <f t="shared" si="13"/>
        <v/>
      </c>
      <c r="R64" s="65">
        <f t="shared" si="5"/>
        <v>0</v>
      </c>
      <c r="S64" s="67" t="str">
        <f t="shared" si="6"/>
        <v/>
      </c>
      <c r="T64" s="67">
        <f t="shared" si="7"/>
        <v>365</v>
      </c>
      <c r="U64" s="67" t="str">
        <f t="shared" si="8"/>
        <v/>
      </c>
      <c r="V64" s="72" t="e">
        <f t="shared" si="9"/>
        <v>#VALUE!</v>
      </c>
      <c r="W64" s="73" t="e">
        <f t="shared" si="10"/>
        <v>#VALUE!</v>
      </c>
      <c r="X64" s="67"/>
    </row>
    <row r="65" spans="1:24" x14ac:dyDescent="0.35">
      <c r="A65" s="68" t="str">
        <f t="shared" si="2"/>
        <v/>
      </c>
      <c r="B65" s="64" t="str">
        <f t="shared" si="21"/>
        <v/>
      </c>
      <c r="C65" s="64" t="str">
        <f t="shared" si="4"/>
        <v/>
      </c>
      <c r="D65" s="68" t="str">
        <f t="shared" si="19"/>
        <v/>
      </c>
      <c r="E65" s="65" t="str">
        <f t="shared" si="20"/>
        <v/>
      </c>
      <c r="F65" s="65" t="str">
        <f>IF(AND(A64="",A66=""),"",IF(A65="",ROUND(SUM($F$25:F64),2),IF(A65=$D$8,$E$24-ROUND(SUM($F$25:F64),2),($G$9-G65))))</f>
        <v/>
      </c>
      <c r="G65" s="65" t="str">
        <f>IF(A64=$D$8,ROUND(SUM($G$25:G64),2),IF(A65&gt;$D$8,"",IF(T65&lt;&gt;T64,ROUND(SUM(V65*$D$9*E64/T65,W65*$D$9*E64/T64),2),ROUND(E64*$D$9*D65/T64,2))))</f>
        <v/>
      </c>
      <c r="H65" s="65" t="str">
        <f>IF(A64=$D$8,SUM($H$25:H64),IF(A64&gt;$D$8,"",F65+G65+O65))</f>
        <v/>
      </c>
      <c r="I65" s="74" t="str">
        <f t="shared" si="22"/>
        <v/>
      </c>
      <c r="J65" s="74" t="str">
        <f t="shared" si="23"/>
        <v/>
      </c>
      <c r="K65" s="74" t="s">
        <v>144</v>
      </c>
      <c r="L65" s="74" t="str">
        <f t="shared" si="24"/>
        <v/>
      </c>
      <c r="M65" s="65" t="str">
        <f t="shared" si="17"/>
        <v/>
      </c>
      <c r="N65" s="65" t="str">
        <f t="shared" si="14"/>
        <v/>
      </c>
      <c r="O65" s="65" t="str">
        <f>IF(A64=$D$8,SUM($O$25:O64),IF(A64&gt;$D$8," ",$N$5*$D$6))</f>
        <v xml:space="preserve"> </v>
      </c>
      <c r="P65" s="70" t="str">
        <f>IF(A64=$D$8,XIRR(H$24:H64,C$24:C64),"")</f>
        <v/>
      </c>
      <c r="Q65" s="74" t="str">
        <f t="shared" si="13"/>
        <v/>
      </c>
      <c r="R65" s="65">
        <f t="shared" si="5"/>
        <v>0</v>
      </c>
      <c r="S65" s="67" t="str">
        <f t="shared" si="6"/>
        <v/>
      </c>
      <c r="T65" s="67">
        <f t="shared" si="7"/>
        <v>365</v>
      </c>
      <c r="U65" s="67" t="str">
        <f t="shared" si="8"/>
        <v/>
      </c>
      <c r="V65" s="72" t="e">
        <f t="shared" si="9"/>
        <v>#VALUE!</v>
      </c>
      <c r="W65" s="73" t="e">
        <f t="shared" si="10"/>
        <v>#VALUE!</v>
      </c>
      <c r="X65" s="67"/>
    </row>
    <row r="66" spans="1:24" x14ac:dyDescent="0.35">
      <c r="A66" s="68" t="str">
        <f t="shared" si="2"/>
        <v/>
      </c>
      <c r="B66" s="64" t="str">
        <f t="shared" si="21"/>
        <v/>
      </c>
      <c r="C66" s="64" t="str">
        <f t="shared" si="4"/>
        <v/>
      </c>
      <c r="D66" s="68" t="str">
        <f t="shared" si="19"/>
        <v/>
      </c>
      <c r="E66" s="65" t="str">
        <f t="shared" si="20"/>
        <v/>
      </c>
      <c r="F66" s="65" t="str">
        <f>IF(AND(A65="",A67=""),"",IF(A66="",ROUND(SUM($F$25:F65),2),IF(A66=$D$8,$E$24-ROUND(SUM($F$25:F65),2),($G$9-G66))))</f>
        <v/>
      </c>
      <c r="G66" s="65" t="str">
        <f>IF(A65=$D$8,ROUND(SUM($G$25:G65),2),IF(A66&gt;$D$8,"",IF(T66&lt;&gt;T65,ROUND(SUM(V66*$D$9*E65/T66,W66*$D$9*E65/T65),2),ROUND(E65*$D$9*D66/T65,2))))</f>
        <v/>
      </c>
      <c r="H66" s="65" t="str">
        <f>IF(A65=$D$8,SUM($H$25:H65),IF(A65&gt;$D$8,"",F66+G66+O66))</f>
        <v/>
      </c>
      <c r="I66" s="74" t="str">
        <f t="shared" si="22"/>
        <v/>
      </c>
      <c r="J66" s="74" t="str">
        <f t="shared" si="23"/>
        <v/>
      </c>
      <c r="K66" s="74" t="s">
        <v>144</v>
      </c>
      <c r="L66" s="74" t="str">
        <f t="shared" si="24"/>
        <v/>
      </c>
      <c r="M66" s="65" t="str">
        <f t="shared" si="17"/>
        <v/>
      </c>
      <c r="N66" s="65" t="str">
        <f t="shared" si="14"/>
        <v/>
      </c>
      <c r="O66" s="65" t="str">
        <f>IF(A65=$D$8,SUM($O$25:O65),IF(A65&gt;$D$8," ",$N$5*$D$6))</f>
        <v xml:space="preserve"> </v>
      </c>
      <c r="P66" s="70" t="str">
        <f>IF(A65=$D$8,XIRR(H$24:H65,C$24:C65),"")</f>
        <v/>
      </c>
      <c r="Q66" s="74" t="str">
        <f t="shared" si="13"/>
        <v/>
      </c>
      <c r="R66" s="65">
        <f t="shared" si="5"/>
        <v>0</v>
      </c>
      <c r="S66" s="67" t="str">
        <f t="shared" si="6"/>
        <v/>
      </c>
      <c r="T66" s="67">
        <f t="shared" si="7"/>
        <v>365</v>
      </c>
      <c r="U66" s="67" t="str">
        <f t="shared" si="8"/>
        <v/>
      </c>
      <c r="V66" s="72" t="e">
        <f t="shared" si="9"/>
        <v>#VALUE!</v>
      </c>
      <c r="W66" s="73" t="e">
        <f t="shared" si="10"/>
        <v>#VALUE!</v>
      </c>
      <c r="X66" s="67"/>
    </row>
    <row r="67" spans="1:24" x14ac:dyDescent="0.35">
      <c r="A67" s="68" t="str">
        <f t="shared" si="2"/>
        <v/>
      </c>
      <c r="B67" s="64" t="str">
        <f t="shared" si="21"/>
        <v/>
      </c>
      <c r="C67" s="64" t="str">
        <f t="shared" si="4"/>
        <v/>
      </c>
      <c r="D67" s="68" t="str">
        <f t="shared" si="19"/>
        <v/>
      </c>
      <c r="E67" s="65" t="str">
        <f t="shared" si="20"/>
        <v/>
      </c>
      <c r="F67" s="65" t="str">
        <f>IF(AND(A66="",A68=""),"",IF(A67="",ROUND(SUM($F$25:F66),2),IF(A67=$D$8,$E$24-ROUND(SUM($F$25:F66),2),($G$9-G67))))</f>
        <v/>
      </c>
      <c r="G67" s="65" t="str">
        <f>IF(A66=$D$8,ROUND(SUM($G$25:G66),2),IF(A67&gt;$D$8,"",IF(T67&lt;&gt;T66,ROUND(SUM(V67*$D$9*E66/T67,W67*$D$9*E66/T66),2),ROUND(E66*$D$9*D67/T66,2))))</f>
        <v/>
      </c>
      <c r="H67" s="65" t="str">
        <f>IF(A66=$D$8,SUM($H$25:H66),IF(A66&gt;$D$8,"",F67+G67+O67))</f>
        <v/>
      </c>
      <c r="I67" s="74" t="str">
        <f t="shared" si="22"/>
        <v/>
      </c>
      <c r="J67" s="74" t="str">
        <f t="shared" si="23"/>
        <v/>
      </c>
      <c r="K67" s="74" t="s">
        <v>144</v>
      </c>
      <c r="L67" s="74" t="str">
        <f t="shared" si="24"/>
        <v/>
      </c>
      <c r="M67" s="65" t="str">
        <f t="shared" si="17"/>
        <v/>
      </c>
      <c r="N67" s="65" t="str">
        <f t="shared" si="14"/>
        <v/>
      </c>
      <c r="O67" s="65" t="str">
        <f>IF(A66=$D$8,SUM($O$25:O66),IF(A66&gt;$D$8," ",$N$5*$D$6))</f>
        <v xml:space="preserve"> </v>
      </c>
      <c r="P67" s="70" t="str">
        <f>IF(A66=$D$8,XIRR(H$24:H66,C$24:C66),"")</f>
        <v/>
      </c>
      <c r="Q67" s="74" t="str">
        <f t="shared" si="13"/>
        <v/>
      </c>
      <c r="R67" s="65">
        <f t="shared" si="5"/>
        <v>0</v>
      </c>
      <c r="S67" s="67" t="str">
        <f t="shared" si="6"/>
        <v/>
      </c>
      <c r="T67" s="67">
        <f t="shared" si="7"/>
        <v>365</v>
      </c>
      <c r="U67" s="67" t="str">
        <f t="shared" si="8"/>
        <v/>
      </c>
      <c r="V67" s="72" t="e">
        <f t="shared" si="9"/>
        <v>#VALUE!</v>
      </c>
      <c r="W67" s="73" t="e">
        <f t="shared" si="10"/>
        <v>#VALUE!</v>
      </c>
      <c r="X67" s="67"/>
    </row>
    <row r="68" spans="1:24" x14ac:dyDescent="0.35">
      <c r="A68" s="68" t="str">
        <f t="shared" si="2"/>
        <v/>
      </c>
      <c r="B68" s="64" t="str">
        <f t="shared" si="21"/>
        <v/>
      </c>
      <c r="C68" s="64" t="str">
        <f t="shared" si="4"/>
        <v/>
      </c>
      <c r="D68" s="68" t="str">
        <f t="shared" si="19"/>
        <v/>
      </c>
      <c r="E68" s="65" t="str">
        <f t="shared" si="20"/>
        <v/>
      </c>
      <c r="F68" s="65" t="str">
        <f>IF(AND(A67="",A69=""),"",IF(A68="",ROUND(SUM($F$25:F67),2),IF(A68=$D$8,$E$24-ROUND(SUM($F$25:F67),2),($G$9-G68))))</f>
        <v/>
      </c>
      <c r="G68" s="65" t="str">
        <f>IF(A67=$D$8,ROUND(SUM($G$25:G67),2),IF(A68&gt;$D$8,"",IF(T68&lt;&gt;T67,ROUND(SUM(V68*$D$9*E67/T68,W68*$D$9*E67/T67),2),ROUND(E67*$D$9*D68/T67,2))))</f>
        <v/>
      </c>
      <c r="H68" s="65" t="str">
        <f>IF(A67=$D$8,SUM($H$25:H67),IF(A67&gt;$D$8,"",F68+G68+O68))</f>
        <v/>
      </c>
      <c r="I68" s="74" t="str">
        <f t="shared" si="22"/>
        <v/>
      </c>
      <c r="J68" s="74" t="str">
        <f t="shared" si="23"/>
        <v/>
      </c>
      <c r="K68" s="74" t="s">
        <v>144</v>
      </c>
      <c r="L68" s="74" t="str">
        <f t="shared" si="24"/>
        <v/>
      </c>
      <c r="M68" s="65" t="str">
        <f t="shared" si="17"/>
        <v/>
      </c>
      <c r="N68" s="65" t="str">
        <f t="shared" si="14"/>
        <v/>
      </c>
      <c r="O68" s="65" t="str">
        <f>IF(A67=$D$8,SUM($O$25:O67),IF(A67&gt;$D$8," ",$N$5*$D$6))</f>
        <v xml:space="preserve"> </v>
      </c>
      <c r="P68" s="70" t="str">
        <f>IF(A67=$D$8,XIRR(H$24:H67,C$24:C67),"")</f>
        <v/>
      </c>
      <c r="Q68" s="74" t="str">
        <f t="shared" si="13"/>
        <v/>
      </c>
      <c r="R68" s="65">
        <f t="shared" si="5"/>
        <v>0</v>
      </c>
      <c r="S68" s="67" t="str">
        <f t="shared" si="6"/>
        <v/>
      </c>
      <c r="T68" s="67">
        <f t="shared" si="7"/>
        <v>365</v>
      </c>
      <c r="U68" s="67" t="str">
        <f t="shared" si="8"/>
        <v/>
      </c>
      <c r="V68" s="72" t="e">
        <f t="shared" si="9"/>
        <v>#VALUE!</v>
      </c>
      <c r="W68" s="73" t="e">
        <f t="shared" si="10"/>
        <v>#VALUE!</v>
      </c>
      <c r="X68" s="67"/>
    </row>
    <row r="69" spans="1:24" x14ac:dyDescent="0.35">
      <c r="A69" s="68" t="str">
        <f t="shared" si="2"/>
        <v/>
      </c>
      <c r="B69" s="64" t="str">
        <f t="shared" si="21"/>
        <v/>
      </c>
      <c r="C69" s="64" t="str">
        <f t="shared" si="4"/>
        <v/>
      </c>
      <c r="D69" s="68" t="str">
        <f t="shared" si="19"/>
        <v/>
      </c>
      <c r="E69" s="65" t="str">
        <f t="shared" si="20"/>
        <v/>
      </c>
      <c r="F69" s="65" t="str">
        <f>IF(AND(A68="",A70=""),"",IF(A69="",ROUND(SUM($F$25:F68),2),IF(A69=$D$8,$E$24-ROUND(SUM($F$25:F68),2),($G$9-G69))))</f>
        <v/>
      </c>
      <c r="G69" s="65" t="str">
        <f>IF(A68=$D$8,ROUND(SUM($G$25:G68),2),IF(A69&gt;$D$8,"",IF(T69&lt;&gt;T68,ROUND(SUM(V69*$D$9*E68/T69,W69*$D$9*E68/T68),2),ROUND(E68*$D$9*D69/T68,2))))</f>
        <v/>
      </c>
      <c r="H69" s="65" t="str">
        <f>IF(A68=$D$8,SUM($H$25:H68),IF(A68&gt;$D$8,"",F69+G69+O69))</f>
        <v/>
      </c>
      <c r="I69" s="74" t="str">
        <f t="shared" si="22"/>
        <v/>
      </c>
      <c r="J69" s="74" t="str">
        <f t="shared" si="23"/>
        <v/>
      </c>
      <c r="K69" s="74" t="s">
        <v>144</v>
      </c>
      <c r="L69" s="74" t="str">
        <f t="shared" si="24"/>
        <v/>
      </c>
      <c r="M69" s="65" t="str">
        <f t="shared" si="17"/>
        <v/>
      </c>
      <c r="N69" s="65" t="str">
        <f t="shared" si="14"/>
        <v/>
      </c>
      <c r="O69" s="65" t="str">
        <f>IF(A68=$D$8,SUM($O$25:O68),IF(A68&gt;$D$8," ",$N$5*$D$6))</f>
        <v xml:space="preserve"> </v>
      </c>
      <c r="P69" s="70" t="str">
        <f>IF(A68=$D$8,XIRR(H$24:H68,C$24:C68),"")</f>
        <v/>
      </c>
      <c r="Q69" s="74" t="str">
        <f t="shared" si="13"/>
        <v/>
      </c>
      <c r="R69" s="65">
        <f t="shared" si="5"/>
        <v>0</v>
      </c>
      <c r="S69" s="67" t="str">
        <f t="shared" si="6"/>
        <v/>
      </c>
      <c r="T69" s="67">
        <f t="shared" si="7"/>
        <v>365</v>
      </c>
      <c r="U69" s="67" t="str">
        <f t="shared" si="8"/>
        <v/>
      </c>
      <c r="V69" s="72" t="e">
        <f t="shared" si="9"/>
        <v>#VALUE!</v>
      </c>
      <c r="W69" s="73" t="e">
        <f t="shared" si="10"/>
        <v>#VALUE!</v>
      </c>
      <c r="X69" s="67"/>
    </row>
    <row r="70" spans="1:24" x14ac:dyDescent="0.35">
      <c r="A70" s="68" t="str">
        <f t="shared" si="2"/>
        <v/>
      </c>
      <c r="B70" s="64" t="str">
        <f t="shared" si="21"/>
        <v/>
      </c>
      <c r="C70" s="64" t="str">
        <f t="shared" si="4"/>
        <v/>
      </c>
      <c r="D70" s="68" t="str">
        <f t="shared" si="19"/>
        <v/>
      </c>
      <c r="E70" s="65" t="str">
        <f t="shared" si="20"/>
        <v/>
      </c>
      <c r="F70" s="65" t="str">
        <f>IF(AND(A69="",A71=""),"",IF(A70="",ROUND(SUM($F$25:F69),2),IF(A70=$D$8,$E$24-ROUND(SUM($F$25:F69),2),($G$9-G70))))</f>
        <v/>
      </c>
      <c r="G70" s="65" t="str">
        <f>IF(A69=$D$8,ROUND(SUM($G$25:G69),2),IF(A70&gt;$D$8,"",IF(T70&lt;&gt;T69,ROUND(SUM(V70*$D$9*E69/T70,W70*$D$9*E69/T69),2),ROUND(E69*$D$9*D70/T69,2))))</f>
        <v/>
      </c>
      <c r="H70" s="65" t="str">
        <f>IF(A69=$D$8,SUM($H$25:H69),IF(A69&gt;$D$8,"",F70+G70+O70))</f>
        <v/>
      </c>
      <c r="I70" s="74" t="str">
        <f t="shared" si="22"/>
        <v/>
      </c>
      <c r="J70" s="74" t="str">
        <f t="shared" si="23"/>
        <v/>
      </c>
      <c r="K70" s="74" t="s">
        <v>144</v>
      </c>
      <c r="L70" s="74" t="str">
        <f t="shared" si="24"/>
        <v/>
      </c>
      <c r="M70" s="65" t="str">
        <f t="shared" si="17"/>
        <v/>
      </c>
      <c r="N70" s="65" t="str">
        <f t="shared" si="14"/>
        <v/>
      </c>
      <c r="O70" s="65" t="str">
        <f>IF(A69=$D$8,SUM($O$25:O69),IF(A69&gt;$D$8," ",$N$5*$D$6))</f>
        <v xml:space="preserve"> </v>
      </c>
      <c r="P70" s="70" t="str">
        <f>IF(A69=$D$8,XIRR(H$24:H69,C$24:C69),"")</f>
        <v/>
      </c>
      <c r="Q70" s="74" t="str">
        <f t="shared" si="13"/>
        <v/>
      </c>
      <c r="R70" s="65">
        <f t="shared" si="5"/>
        <v>0</v>
      </c>
      <c r="S70" s="67" t="str">
        <f t="shared" si="6"/>
        <v/>
      </c>
      <c r="T70" s="67">
        <f t="shared" si="7"/>
        <v>365</v>
      </c>
      <c r="U70" s="67" t="str">
        <f t="shared" si="8"/>
        <v/>
      </c>
      <c r="V70" s="72" t="e">
        <f t="shared" si="9"/>
        <v>#VALUE!</v>
      </c>
      <c r="W70" s="73" t="e">
        <f t="shared" si="10"/>
        <v>#VALUE!</v>
      </c>
      <c r="X70" s="67"/>
    </row>
    <row r="71" spans="1:24" x14ac:dyDescent="0.35">
      <c r="A71" s="68" t="str">
        <f t="shared" si="2"/>
        <v/>
      </c>
      <c r="B71" s="64" t="str">
        <f t="shared" si="21"/>
        <v/>
      </c>
      <c r="C71" s="64" t="str">
        <f t="shared" si="4"/>
        <v/>
      </c>
      <c r="D71" s="68" t="str">
        <f t="shared" si="19"/>
        <v/>
      </c>
      <c r="E71" s="65" t="str">
        <f t="shared" si="20"/>
        <v/>
      </c>
      <c r="F71" s="65" t="str">
        <f>IF(AND(A70="",A72=""),"",IF(A71="",ROUND(SUM($F$25:F70),2),IF(A71=$D$8,$E$24-ROUND(SUM($F$25:F70),2),($G$9-G71))))</f>
        <v/>
      </c>
      <c r="G71" s="65" t="str">
        <f>IF(A70=$D$8,ROUND(SUM($G$25:G70),2),IF(A71&gt;$D$8,"",IF(T71&lt;&gt;T70,ROUND(SUM(V71*$D$9*E70/T71,W71*$D$9*E70/T70),2),ROUND(E70*$D$9*D71/T70,2))))</f>
        <v/>
      </c>
      <c r="H71" s="65" t="str">
        <f>IF(A70=$D$8,SUM($H$25:H70),IF(A70&gt;$D$8,"",F71+G71+O71))</f>
        <v/>
      </c>
      <c r="I71" s="74" t="str">
        <f t="shared" si="22"/>
        <v/>
      </c>
      <c r="J71" s="74" t="str">
        <f t="shared" si="23"/>
        <v/>
      </c>
      <c r="K71" s="74" t="s">
        <v>144</v>
      </c>
      <c r="L71" s="74" t="str">
        <f t="shared" si="24"/>
        <v/>
      </c>
      <c r="M71" s="65" t="str">
        <f t="shared" si="17"/>
        <v/>
      </c>
      <c r="N71" s="65" t="str">
        <f t="shared" si="14"/>
        <v/>
      </c>
      <c r="O71" s="65" t="str">
        <f>IF(A70=$D$8,SUM($O$25:O70),IF(A70&gt;$D$8," ",$N$5*$D$6))</f>
        <v xml:space="preserve"> </v>
      </c>
      <c r="P71" s="70" t="str">
        <f>IF(A70=$D$8,XIRR(H$24:H70,C$24:C70),"")</f>
        <v/>
      </c>
      <c r="Q71" s="74" t="str">
        <f t="shared" si="13"/>
        <v/>
      </c>
      <c r="R71" s="65">
        <f t="shared" si="5"/>
        <v>0</v>
      </c>
      <c r="S71" s="67" t="str">
        <f t="shared" si="6"/>
        <v/>
      </c>
      <c r="T71" s="67">
        <f t="shared" si="7"/>
        <v>365</v>
      </c>
      <c r="U71" s="67" t="str">
        <f t="shared" si="8"/>
        <v/>
      </c>
      <c r="V71" s="72" t="e">
        <f t="shared" si="9"/>
        <v>#VALUE!</v>
      </c>
      <c r="W71" s="73" t="e">
        <f t="shared" si="10"/>
        <v>#VALUE!</v>
      </c>
      <c r="X71" s="67"/>
    </row>
    <row r="72" spans="1:24" x14ac:dyDescent="0.35">
      <c r="A72" s="68" t="str">
        <f t="shared" si="2"/>
        <v/>
      </c>
      <c r="B72" s="64" t="str">
        <f t="shared" si="21"/>
        <v/>
      </c>
      <c r="C72" s="64" t="str">
        <f t="shared" si="4"/>
        <v/>
      </c>
      <c r="D72" s="68" t="str">
        <f t="shared" si="19"/>
        <v/>
      </c>
      <c r="E72" s="65" t="str">
        <f t="shared" si="20"/>
        <v/>
      </c>
      <c r="F72" s="65" t="str">
        <f>IF(AND(A71="",A73=""),"",IF(A72="",ROUND(SUM($F$25:F71),2),IF(A72=$D$8,$E$24-ROUND(SUM($F$25:F71),2),($G$9-G72))))</f>
        <v/>
      </c>
      <c r="G72" s="65" t="str">
        <f>IF(A71=$D$8,ROUND(SUM($G$25:G71),2),IF(A72&gt;$D$8,"",IF(T72&lt;&gt;T71,ROUND(SUM(V72*$D$9*E71/T72,W72*$D$9*E71/T71),2),ROUND(E71*$D$9*D72/T71,2))))</f>
        <v/>
      </c>
      <c r="H72" s="65" t="str">
        <f>IF(A71=$D$8,SUM($H$25:H71),IF(A71&gt;$D$8,"",F72+G72+O72))</f>
        <v/>
      </c>
      <c r="I72" s="74" t="str">
        <f t="shared" si="22"/>
        <v/>
      </c>
      <c r="J72" s="74" t="str">
        <f t="shared" si="23"/>
        <v/>
      </c>
      <c r="K72" s="74" t="s">
        <v>144</v>
      </c>
      <c r="L72" s="74" t="str">
        <f t="shared" si="24"/>
        <v/>
      </c>
      <c r="M72" s="65" t="str">
        <f t="shared" si="17"/>
        <v/>
      </c>
      <c r="N72" s="65" t="str">
        <f t="shared" si="14"/>
        <v/>
      </c>
      <c r="O72" s="65" t="str">
        <f>IF(A71=$D$8,SUM($O$25:O71),IF(A71&gt;$D$8," ",$N$5*$D$6))</f>
        <v xml:space="preserve"> </v>
      </c>
      <c r="P72" s="70" t="str">
        <f>IF(A71=$D$8,XIRR(H$24:H71,C$24:C71),"")</f>
        <v/>
      </c>
      <c r="Q72" s="74" t="str">
        <f t="shared" si="13"/>
        <v/>
      </c>
      <c r="R72" s="65">
        <f t="shared" si="5"/>
        <v>0</v>
      </c>
      <c r="S72" s="67" t="str">
        <f t="shared" si="6"/>
        <v/>
      </c>
      <c r="T72" s="67">
        <f t="shared" si="7"/>
        <v>365</v>
      </c>
      <c r="U72" s="67" t="str">
        <f t="shared" si="8"/>
        <v/>
      </c>
      <c r="V72" s="72" t="e">
        <f t="shared" si="9"/>
        <v>#VALUE!</v>
      </c>
      <c r="W72" s="73" t="e">
        <f t="shared" si="10"/>
        <v>#VALUE!</v>
      </c>
      <c r="X72" s="67"/>
    </row>
    <row r="73" spans="1:24" x14ac:dyDescent="0.35">
      <c r="A73" s="68" t="str">
        <f t="shared" si="2"/>
        <v/>
      </c>
      <c r="B73" s="64" t="str">
        <f t="shared" si="21"/>
        <v/>
      </c>
      <c r="C73" s="64" t="str">
        <f t="shared" si="4"/>
        <v/>
      </c>
      <c r="D73" s="68" t="str">
        <f t="shared" si="19"/>
        <v/>
      </c>
      <c r="E73" s="65" t="str">
        <f t="shared" si="20"/>
        <v/>
      </c>
      <c r="F73" s="65" t="str">
        <f>IF(AND(A72="",A74=""),"",IF(A73="",ROUND(SUM($F$25:F72),2),IF(A73=$D$8,$E$24-ROUND(SUM($F$25:F72),2),($G$9-G73))))</f>
        <v/>
      </c>
      <c r="G73" s="65" t="str">
        <f>IF(A72=$D$8,ROUND(SUM($G$25:G72),2),IF(A73&gt;$D$8,"",IF(T73&lt;&gt;T72,ROUND(SUM(V73*$D$9*E72/T73,W73*$D$9*E72/T72),2),ROUND(E72*$D$9*D73/T72,2))))</f>
        <v/>
      </c>
      <c r="H73" s="65" t="str">
        <f>IF(A72=$D$8,SUM($H$25:H72),IF(A72&gt;$D$8,"",F73+G73+O73))</f>
        <v/>
      </c>
      <c r="I73" s="74" t="str">
        <f t="shared" si="22"/>
        <v/>
      </c>
      <c r="J73" s="74" t="str">
        <f>IF($D$8&gt;A72,$N$9,IF(A72=48,SUM($J$24:J72)," "))</f>
        <v xml:space="preserve"> </v>
      </c>
      <c r="K73" s="74" t="str">
        <f>IF($D$8&gt;48,($O$8+$N$10*E72),IF($A$72=$D$8,$K$37+$K$24+$K$49+$K$61,""))</f>
        <v/>
      </c>
      <c r="L73" s="74" t="str">
        <f t="shared" si="24"/>
        <v/>
      </c>
      <c r="M73" s="65" t="str">
        <f t="shared" si="17"/>
        <v/>
      </c>
      <c r="N73" s="65" t="str">
        <f t="shared" si="14"/>
        <v/>
      </c>
      <c r="O73" s="65" t="str">
        <f>IF(A72=$D$8,SUM($O$25:O72),IF(A72&gt;$D$8," ",$N$5*$D$6))</f>
        <v xml:space="preserve"> </v>
      </c>
      <c r="P73" s="70" t="str">
        <f>IF(A72=$D$8,XIRR(H$24:H72,C$24:C72),"")</f>
        <v/>
      </c>
      <c r="Q73" s="74" t="str">
        <f t="shared" si="13"/>
        <v/>
      </c>
      <c r="R73" s="65">
        <f t="shared" si="5"/>
        <v>0</v>
      </c>
      <c r="S73" s="67" t="str">
        <f t="shared" si="6"/>
        <v/>
      </c>
      <c r="T73" s="67">
        <f t="shared" si="7"/>
        <v>365</v>
      </c>
      <c r="U73" s="67" t="str">
        <f t="shared" si="8"/>
        <v/>
      </c>
      <c r="V73" s="72" t="e">
        <f t="shared" si="9"/>
        <v>#VALUE!</v>
      </c>
      <c r="W73" s="73" t="e">
        <f t="shared" si="10"/>
        <v>#VALUE!</v>
      </c>
      <c r="X73" s="67"/>
    </row>
    <row r="74" spans="1:24" x14ac:dyDescent="0.35">
      <c r="A74" s="68" t="str">
        <f t="shared" si="2"/>
        <v/>
      </c>
      <c r="B74" s="64" t="str">
        <f t="shared" si="21"/>
        <v/>
      </c>
      <c r="C74" s="64" t="str">
        <f t="shared" si="4"/>
        <v/>
      </c>
      <c r="D74" s="68" t="str">
        <f t="shared" si="19"/>
        <v/>
      </c>
      <c r="E74" s="65" t="str">
        <f t="shared" si="20"/>
        <v/>
      </c>
      <c r="F74" s="65" t="str">
        <f>IF(AND(A73="",A75=""),"",IF(A74="",ROUND(SUM($F$25:F73),2),IF(A74=$D$8,$E$24-ROUND(SUM($F$25:F73),2),($G$9-G74))))</f>
        <v/>
      </c>
      <c r="G74" s="65" t="str">
        <f>IF(A73=$D$8,ROUND(SUM($G$25:G73),2),IF(A74&gt;$D$8,"",IF(T74&lt;&gt;T73,ROUND(SUM(V74*$D$9*E73/T74,W74*$D$9*E73/T73),2),ROUND(E73*$D$9*D74/T73,2))))</f>
        <v/>
      </c>
      <c r="H74" s="65" t="str">
        <f>IF(A73=$D$8,SUM($H$25:H73),IF(A73&gt;$D$8,"",F74+G74+O74))</f>
        <v/>
      </c>
      <c r="I74" s="74" t="str">
        <f t="shared" si="22"/>
        <v/>
      </c>
      <c r="J74" s="74" t="str">
        <f t="shared" si="23"/>
        <v/>
      </c>
      <c r="K74" s="74" t="s">
        <v>144</v>
      </c>
      <c r="L74" s="74" t="str">
        <f t="shared" si="24"/>
        <v/>
      </c>
      <c r="M74" s="65" t="str">
        <f t="shared" si="17"/>
        <v/>
      </c>
      <c r="N74" s="65" t="str">
        <f t="shared" si="14"/>
        <v/>
      </c>
      <c r="O74" s="65" t="str">
        <f>IF(A73=$D$8,SUM($O$25:O73),IF(A73&gt;$D$8," ",$N$5*$D$6))</f>
        <v xml:space="preserve"> </v>
      </c>
      <c r="P74" s="70" t="str">
        <f>IF(A73=$D$8,XIRR(H$24:H73,C$24:C73),"")</f>
        <v/>
      </c>
      <c r="Q74" s="74" t="str">
        <f t="shared" si="13"/>
        <v/>
      </c>
      <c r="R74" s="65">
        <f t="shared" si="5"/>
        <v>0</v>
      </c>
      <c r="S74" s="67" t="str">
        <f t="shared" si="6"/>
        <v/>
      </c>
      <c r="T74" s="67">
        <f t="shared" si="7"/>
        <v>365</v>
      </c>
      <c r="U74" s="67" t="str">
        <f t="shared" si="8"/>
        <v/>
      </c>
      <c r="V74" s="72" t="e">
        <f t="shared" si="9"/>
        <v>#VALUE!</v>
      </c>
      <c r="W74" s="73" t="e">
        <f t="shared" si="10"/>
        <v>#VALUE!</v>
      </c>
      <c r="X74" s="67"/>
    </row>
    <row r="75" spans="1:24" x14ac:dyDescent="0.35">
      <c r="A75" s="68" t="str">
        <f t="shared" si="2"/>
        <v/>
      </c>
      <c r="B75" s="64" t="str">
        <f t="shared" si="21"/>
        <v/>
      </c>
      <c r="C75" s="64" t="str">
        <f t="shared" si="4"/>
        <v/>
      </c>
      <c r="D75" s="68" t="str">
        <f t="shared" si="19"/>
        <v/>
      </c>
      <c r="E75" s="65" t="str">
        <f t="shared" si="20"/>
        <v/>
      </c>
      <c r="F75" s="65" t="str">
        <f>IF(AND(A74="",A76=""),"",IF(A75="",ROUND(SUM($F$25:F74),2),IF(A75=$D$8,$E$24-ROUND(SUM($F$25:F74),2),($G$9-G75))))</f>
        <v/>
      </c>
      <c r="G75" s="65" t="str">
        <f>IF(A74=$D$8,ROUND(SUM($G$25:G74),2),IF(A75&gt;$D$8,"",IF(T75&lt;&gt;T74,ROUND(SUM(V75*$D$9*E74/T75,W75*$D$9*E74/T74),2),ROUND(E74*$D$9*D75/T74,2))))</f>
        <v/>
      </c>
      <c r="H75" s="65" t="str">
        <f>IF(A74=$D$8,SUM($H$25:H74),IF(A74&gt;$D$8,"",F75+G75+O75))</f>
        <v/>
      </c>
      <c r="I75" s="74" t="str">
        <f t="shared" si="22"/>
        <v/>
      </c>
      <c r="J75" s="74" t="str">
        <f t="shared" si="23"/>
        <v/>
      </c>
      <c r="K75" s="74" t="s">
        <v>144</v>
      </c>
      <c r="L75" s="74" t="str">
        <f t="shared" si="24"/>
        <v/>
      </c>
      <c r="M75" s="65" t="str">
        <f t="shared" si="17"/>
        <v/>
      </c>
      <c r="N75" s="65" t="str">
        <f t="shared" si="14"/>
        <v/>
      </c>
      <c r="O75" s="65" t="str">
        <f>IF(A74=$D$8,SUM($O$25:O74),IF(A74&gt;$D$8," ",$N$5*$D$6))</f>
        <v xml:space="preserve"> </v>
      </c>
      <c r="P75" s="70" t="str">
        <f>IF(A74=$D$8,XIRR(H$24:H74,C$24:C74),"")</f>
        <v/>
      </c>
      <c r="Q75" s="74" t="str">
        <f t="shared" si="13"/>
        <v/>
      </c>
      <c r="R75" s="65">
        <f t="shared" si="5"/>
        <v>0</v>
      </c>
      <c r="S75" s="67" t="str">
        <f t="shared" si="6"/>
        <v/>
      </c>
      <c r="T75" s="67">
        <f t="shared" si="7"/>
        <v>365</v>
      </c>
      <c r="U75" s="67" t="str">
        <f t="shared" si="8"/>
        <v/>
      </c>
      <c r="V75" s="72" t="e">
        <f t="shared" si="9"/>
        <v>#VALUE!</v>
      </c>
      <c r="W75" s="73" t="e">
        <f t="shared" si="10"/>
        <v>#VALUE!</v>
      </c>
      <c r="X75" s="67"/>
    </row>
    <row r="76" spans="1:24" x14ac:dyDescent="0.35">
      <c r="A76" s="68" t="str">
        <f t="shared" si="2"/>
        <v/>
      </c>
      <c r="B76" s="64" t="str">
        <f t="shared" si="21"/>
        <v/>
      </c>
      <c r="C76" s="64" t="str">
        <f t="shared" si="4"/>
        <v/>
      </c>
      <c r="D76" s="68" t="str">
        <f t="shared" si="19"/>
        <v/>
      </c>
      <c r="E76" s="65" t="str">
        <f t="shared" si="20"/>
        <v/>
      </c>
      <c r="F76" s="65" t="str">
        <f>IF(AND(A75="",A77=""),"",IF(A76="",ROUND(SUM($F$25:F75),2),IF(A76=$D$8,$E$24-ROUND(SUM($F$25:F75),2),($G$9-G76))))</f>
        <v/>
      </c>
      <c r="G76" s="65" t="str">
        <f>IF(A75=$D$8,ROUND(SUM($G$25:G75),2),IF(A76&gt;$D$8,"",IF(T76&lt;&gt;T75,ROUND(SUM(V76*$D$9*E75/T76,W76*$D$9*E75/T75),2),ROUND(E75*$D$9*D76/T75,2))))</f>
        <v/>
      </c>
      <c r="H76" s="65" t="str">
        <f>IF(A75=$D$8,SUM($H$25:H75),IF(A75&gt;$D$8,"",F76+G76+O76))</f>
        <v/>
      </c>
      <c r="I76" s="74" t="str">
        <f t="shared" si="22"/>
        <v/>
      </c>
      <c r="J76" s="74" t="str">
        <f t="shared" si="23"/>
        <v/>
      </c>
      <c r="K76" s="74" t="s">
        <v>144</v>
      </c>
      <c r="L76" s="74" t="str">
        <f t="shared" si="24"/>
        <v/>
      </c>
      <c r="M76" s="65" t="str">
        <f t="shared" si="17"/>
        <v/>
      </c>
      <c r="N76" s="65" t="str">
        <f t="shared" si="14"/>
        <v/>
      </c>
      <c r="O76" s="65" t="str">
        <f>IF(A75=$D$8,SUM($O$25:O75),IF(A75&gt;$D$8," ",$N$5*$D$6))</f>
        <v xml:space="preserve"> </v>
      </c>
      <c r="P76" s="70" t="str">
        <f>IF(A75=$D$8,XIRR(H$24:H75,C$24:C75),"")</f>
        <v/>
      </c>
      <c r="Q76" s="74" t="str">
        <f t="shared" si="13"/>
        <v/>
      </c>
      <c r="R76" s="65">
        <f t="shared" si="5"/>
        <v>0</v>
      </c>
      <c r="S76" s="67" t="str">
        <f t="shared" si="6"/>
        <v/>
      </c>
      <c r="T76" s="67">
        <f t="shared" si="7"/>
        <v>365</v>
      </c>
      <c r="U76" s="67" t="str">
        <f t="shared" si="8"/>
        <v/>
      </c>
      <c r="V76" s="72" t="e">
        <f t="shared" si="9"/>
        <v>#VALUE!</v>
      </c>
      <c r="W76" s="73" t="e">
        <f t="shared" si="10"/>
        <v>#VALUE!</v>
      </c>
      <c r="X76" s="67"/>
    </row>
    <row r="77" spans="1:24" x14ac:dyDescent="0.35">
      <c r="A77" s="68" t="str">
        <f t="shared" si="2"/>
        <v/>
      </c>
      <c r="B77" s="64" t="str">
        <f t="shared" si="21"/>
        <v/>
      </c>
      <c r="C77" s="64" t="str">
        <f t="shared" si="4"/>
        <v/>
      </c>
      <c r="D77" s="68" t="str">
        <f t="shared" si="19"/>
        <v/>
      </c>
      <c r="E77" s="65" t="str">
        <f t="shared" si="20"/>
        <v/>
      </c>
      <c r="F77" s="65" t="str">
        <f>IF(AND(A76="",A78=""),"",IF(A77="",ROUND(SUM($F$25:F76),2),IF(A77=$D$8,$E$24-ROUND(SUM($F$25:F76),2),($G$9-G77))))</f>
        <v/>
      </c>
      <c r="G77" s="65" t="str">
        <f>IF(A76=$D$8,ROUND(SUM($G$25:G76),2),IF(A77&gt;$D$8,"",IF(T77&lt;&gt;T76,ROUND(SUM(V77*$D$9*E76/T77,W77*$D$9*E76/T76),2),ROUND(E76*$D$9*D77/T76,2))))</f>
        <v/>
      </c>
      <c r="H77" s="65" t="str">
        <f>IF(A76=$D$8,SUM($H$25:H76),IF(A76&gt;$D$8,"",F77+G77+O77))</f>
        <v/>
      </c>
      <c r="I77" s="74" t="str">
        <f t="shared" si="22"/>
        <v/>
      </c>
      <c r="J77" s="74" t="str">
        <f t="shared" si="23"/>
        <v/>
      </c>
      <c r="K77" s="74" t="s">
        <v>144</v>
      </c>
      <c r="L77" s="74" t="str">
        <f t="shared" si="24"/>
        <v/>
      </c>
      <c r="M77" s="65" t="str">
        <f t="shared" si="17"/>
        <v/>
      </c>
      <c r="N77" s="65" t="str">
        <f t="shared" si="14"/>
        <v/>
      </c>
      <c r="O77" s="65" t="str">
        <f>IF(A76=$D$8,SUM($O$25:O76),IF(A76&gt;$D$8," ",$N$5*$D$6))</f>
        <v xml:space="preserve"> </v>
      </c>
      <c r="P77" s="70" t="str">
        <f>IF(A76=$D$8,XIRR(H$24:H76,C$24:C76),"")</f>
        <v/>
      </c>
      <c r="Q77" s="74" t="str">
        <f t="shared" si="13"/>
        <v/>
      </c>
      <c r="R77" s="65">
        <f t="shared" si="5"/>
        <v>0</v>
      </c>
      <c r="S77" s="67" t="str">
        <f t="shared" si="6"/>
        <v/>
      </c>
      <c r="T77" s="67">
        <f t="shared" si="7"/>
        <v>365</v>
      </c>
      <c r="U77" s="67" t="str">
        <f t="shared" si="8"/>
        <v/>
      </c>
      <c r="V77" s="72" t="e">
        <f t="shared" si="9"/>
        <v>#VALUE!</v>
      </c>
      <c r="W77" s="73" t="e">
        <f t="shared" si="10"/>
        <v>#VALUE!</v>
      </c>
      <c r="X77" s="67"/>
    </row>
    <row r="78" spans="1:24" x14ac:dyDescent="0.35">
      <c r="A78" s="68" t="str">
        <f t="shared" si="2"/>
        <v/>
      </c>
      <c r="B78" s="64" t="str">
        <f t="shared" si="21"/>
        <v/>
      </c>
      <c r="C78" s="64" t="str">
        <f t="shared" si="4"/>
        <v/>
      </c>
      <c r="D78" s="68" t="str">
        <f t="shared" si="19"/>
        <v/>
      </c>
      <c r="E78" s="65" t="str">
        <f t="shared" si="20"/>
        <v/>
      </c>
      <c r="F78" s="65" t="str">
        <f>IF(AND(A77="",A79=""),"",IF(A78="",ROUND(SUM($F$25:F77),2),IF(A78=$D$8,$E$24-ROUND(SUM($F$25:F77),2),($G$9-G78))))</f>
        <v/>
      </c>
      <c r="G78" s="65" t="str">
        <f>IF(A77=$D$8,ROUND(SUM($G$25:G77),2),IF(A78&gt;$D$8,"",IF(T78&lt;&gt;T77,ROUND(SUM(V78*$D$9*E77/T78,W78*$D$9*E77/T77),2),ROUND(E77*$D$9*D78/T77,2))))</f>
        <v/>
      </c>
      <c r="H78" s="65" t="str">
        <f>IF(A77=$D$8,SUM($H$25:H77),IF(A77&gt;$D$8,"",F78+G78+O78))</f>
        <v/>
      </c>
      <c r="I78" s="74" t="str">
        <f t="shared" si="22"/>
        <v/>
      </c>
      <c r="J78" s="74" t="str">
        <f t="shared" si="23"/>
        <v/>
      </c>
      <c r="K78" s="74" t="s">
        <v>144</v>
      </c>
      <c r="L78" s="74" t="str">
        <f t="shared" si="24"/>
        <v/>
      </c>
      <c r="M78" s="65" t="str">
        <f t="shared" si="17"/>
        <v/>
      </c>
      <c r="N78" s="65" t="str">
        <f t="shared" si="14"/>
        <v/>
      </c>
      <c r="O78" s="65" t="str">
        <f>IF(A77=$D$8,SUM($O$25:O77),IF(A77&gt;$D$8," ",$N$5*$D$6))</f>
        <v xml:space="preserve"> </v>
      </c>
      <c r="P78" s="70" t="str">
        <f>IF(A77=$D$8,XIRR(H$24:H77,C$24:C77),"")</f>
        <v/>
      </c>
      <c r="Q78" s="74" t="str">
        <f t="shared" si="13"/>
        <v/>
      </c>
      <c r="R78" s="65">
        <f t="shared" si="5"/>
        <v>0</v>
      </c>
      <c r="S78" s="67" t="str">
        <f t="shared" si="6"/>
        <v/>
      </c>
      <c r="T78" s="67">
        <f t="shared" si="7"/>
        <v>365</v>
      </c>
      <c r="U78" s="67" t="str">
        <f t="shared" si="8"/>
        <v/>
      </c>
      <c r="V78" s="72" t="e">
        <f t="shared" si="9"/>
        <v>#VALUE!</v>
      </c>
      <c r="W78" s="73" t="e">
        <f t="shared" si="10"/>
        <v>#VALUE!</v>
      </c>
      <c r="X78" s="67"/>
    </row>
    <row r="79" spans="1:24" x14ac:dyDescent="0.35">
      <c r="A79" s="68" t="str">
        <f t="shared" si="2"/>
        <v/>
      </c>
      <c r="B79" s="64" t="str">
        <f t="shared" si="21"/>
        <v/>
      </c>
      <c r="C79" s="64" t="str">
        <f t="shared" si="4"/>
        <v/>
      </c>
      <c r="D79" s="68" t="str">
        <f t="shared" si="19"/>
        <v/>
      </c>
      <c r="E79" s="65" t="str">
        <f t="shared" si="20"/>
        <v/>
      </c>
      <c r="F79" s="65" t="str">
        <f>IF(AND(A78="",A80=""),"",IF(A79="",ROUND(SUM($F$25:F78),2),IF(A79=$D$8,$E$24-ROUND(SUM($F$25:F78),2),($G$9-G79))))</f>
        <v/>
      </c>
      <c r="G79" s="65" t="str">
        <f>IF(A78=$D$8,ROUND(SUM($G$25:G78),2),IF(A79&gt;$D$8,"",IF(T79&lt;&gt;T78,ROUND(SUM(V79*$D$9*E78/T79,W79*$D$9*E78/T78),2),ROUND(E78*$D$9*D79/T78,2))))</f>
        <v/>
      </c>
      <c r="H79" s="65" t="str">
        <f>IF(A78=$D$8,SUM($H$25:H78),IF(A78&gt;$D$8,"",F79+G79+O79))</f>
        <v/>
      </c>
      <c r="I79" s="74" t="str">
        <f t="shared" si="22"/>
        <v/>
      </c>
      <c r="J79" s="74" t="str">
        <f t="shared" si="23"/>
        <v/>
      </c>
      <c r="K79" s="74" t="s">
        <v>144</v>
      </c>
      <c r="L79" s="74" t="str">
        <f t="shared" si="24"/>
        <v/>
      </c>
      <c r="M79" s="65" t="str">
        <f t="shared" si="17"/>
        <v/>
      </c>
      <c r="N79" s="65" t="str">
        <f t="shared" si="14"/>
        <v/>
      </c>
      <c r="O79" s="65" t="str">
        <f>IF(A78=$D$8,SUM($O$25:O78),IF(A78&gt;$D$8," ",$N$5*$D$6))</f>
        <v xml:space="preserve"> </v>
      </c>
      <c r="P79" s="70" t="str">
        <f>IF(A78=$D$8,XIRR(H$24:H78,C$24:C78),"")</f>
        <v/>
      </c>
      <c r="Q79" s="74" t="str">
        <f t="shared" si="13"/>
        <v/>
      </c>
      <c r="R79" s="65">
        <f t="shared" si="5"/>
        <v>0</v>
      </c>
      <c r="S79" s="67" t="str">
        <f t="shared" si="6"/>
        <v/>
      </c>
      <c r="T79" s="67">
        <f t="shared" si="7"/>
        <v>365</v>
      </c>
      <c r="U79" s="67" t="str">
        <f t="shared" si="8"/>
        <v/>
      </c>
      <c r="V79" s="72" t="e">
        <f t="shared" si="9"/>
        <v>#VALUE!</v>
      </c>
      <c r="W79" s="73" t="e">
        <f t="shared" si="10"/>
        <v>#VALUE!</v>
      </c>
      <c r="X79" s="67"/>
    </row>
    <row r="80" spans="1:24" x14ac:dyDescent="0.35">
      <c r="A80" s="68" t="str">
        <f t="shared" si="2"/>
        <v/>
      </c>
      <c r="B80" s="64" t="str">
        <f t="shared" si="21"/>
        <v/>
      </c>
      <c r="C80" s="64" t="str">
        <f t="shared" si="4"/>
        <v/>
      </c>
      <c r="D80" s="68" t="str">
        <f t="shared" si="19"/>
        <v/>
      </c>
      <c r="E80" s="65" t="str">
        <f t="shared" si="20"/>
        <v/>
      </c>
      <c r="F80" s="65" t="str">
        <f>IF(AND(A79="",A81=""),"",IF(A80="",ROUND(SUM($F$25:F79),2),IF(A80=$D$8,$E$24-ROUND(SUM($F$25:F79),2),($G$9-G80))))</f>
        <v/>
      </c>
      <c r="G80" s="65" t="str">
        <f>IF(A79=$D$8,ROUND(SUM($G$25:G79),2),IF(A80&gt;$D$8,"",IF(T80&lt;&gt;T79,ROUND(SUM(V80*$D$9*E79/T80,W80*$D$9*E79/T79),2),ROUND(E79*$D$9*D80/T79,2))))</f>
        <v/>
      </c>
      <c r="H80" s="65" t="str">
        <f>IF(A79=$D$8,SUM($H$25:H79),IF(A79&gt;$D$8,"",F80+G80+O80))</f>
        <v/>
      </c>
      <c r="I80" s="74" t="str">
        <f t="shared" si="22"/>
        <v/>
      </c>
      <c r="J80" s="74" t="str">
        <f t="shared" si="23"/>
        <v/>
      </c>
      <c r="K80" s="74" t="s">
        <v>144</v>
      </c>
      <c r="L80" s="74" t="str">
        <f t="shared" si="24"/>
        <v/>
      </c>
      <c r="M80" s="65" t="str">
        <f t="shared" si="17"/>
        <v/>
      </c>
      <c r="N80" s="65" t="str">
        <f t="shared" si="14"/>
        <v/>
      </c>
      <c r="O80" s="65" t="str">
        <f>IF(A79=$D$8,SUM($O$25:O79),IF(A79&gt;$D$8," ",$N$5*$D$6))</f>
        <v xml:space="preserve"> </v>
      </c>
      <c r="P80" s="70" t="str">
        <f>IF(A79=$D$8,XIRR(H$24:H79,C$24:C79),"")</f>
        <v/>
      </c>
      <c r="Q80" s="74" t="str">
        <f t="shared" si="13"/>
        <v/>
      </c>
      <c r="R80" s="65">
        <f t="shared" si="5"/>
        <v>0</v>
      </c>
      <c r="S80" s="67" t="str">
        <f t="shared" si="6"/>
        <v/>
      </c>
      <c r="T80" s="67">
        <f t="shared" si="7"/>
        <v>365</v>
      </c>
      <c r="U80" s="67" t="str">
        <f t="shared" si="8"/>
        <v/>
      </c>
      <c r="V80" s="72" t="e">
        <f t="shared" si="9"/>
        <v>#VALUE!</v>
      </c>
      <c r="W80" s="73" t="e">
        <f t="shared" si="10"/>
        <v>#VALUE!</v>
      </c>
      <c r="X80" s="67"/>
    </row>
    <row r="81" spans="1:24" x14ac:dyDescent="0.35">
      <c r="A81" s="68" t="str">
        <f t="shared" si="2"/>
        <v/>
      </c>
      <c r="B81" s="64" t="str">
        <f t="shared" si="21"/>
        <v/>
      </c>
      <c r="C81" s="64" t="str">
        <f t="shared" si="4"/>
        <v/>
      </c>
      <c r="D81" s="68" t="str">
        <f t="shared" si="19"/>
        <v/>
      </c>
      <c r="E81" s="65" t="str">
        <f t="shared" si="20"/>
        <v/>
      </c>
      <c r="F81" s="65" t="str">
        <f>IF(AND(A80="",A82=""),"",IF(A81="",ROUND(SUM($F$25:F80),2),IF(A81=$D$8,$E$24-ROUND(SUM($F$25:F80),2),($G$9-G81))))</f>
        <v/>
      </c>
      <c r="G81" s="65" t="str">
        <f>IF(A80=$D$8,ROUND(SUM($G$25:G80),2),IF(A81&gt;$D$8,"",IF(T81&lt;&gt;T80,ROUND(SUM(V81*$D$9*E80/T81,W81*$D$9*E80/T80),2),ROUND(E80*$D$9*D81/T80,2))))</f>
        <v/>
      </c>
      <c r="H81" s="65" t="str">
        <f>IF(A80=$D$8,SUM($H$25:H80),IF(A80&gt;$D$8,"",F81+G81+O81))</f>
        <v/>
      </c>
      <c r="I81" s="74" t="str">
        <f t="shared" si="22"/>
        <v/>
      </c>
      <c r="J81" s="74" t="str">
        <f t="shared" si="23"/>
        <v/>
      </c>
      <c r="K81" s="74" t="s">
        <v>144</v>
      </c>
      <c r="L81" s="74" t="str">
        <f t="shared" si="24"/>
        <v/>
      </c>
      <c r="M81" s="65" t="str">
        <f t="shared" si="17"/>
        <v/>
      </c>
      <c r="N81" s="65" t="str">
        <f t="shared" si="14"/>
        <v/>
      </c>
      <c r="O81" s="65" t="str">
        <f>IF(A80=$D$8,SUM($O$25:O80),IF(A80&gt;$D$8," ",$N$5*$D$6))</f>
        <v xml:space="preserve"> </v>
      </c>
      <c r="P81" s="70" t="str">
        <f>IF(A80=$D$8,XIRR(H$24:H80,C$24:C80),"")</f>
        <v/>
      </c>
      <c r="Q81" s="74" t="str">
        <f t="shared" si="13"/>
        <v/>
      </c>
      <c r="R81" s="65">
        <f t="shared" si="5"/>
        <v>0</v>
      </c>
      <c r="S81" s="67" t="str">
        <f t="shared" si="6"/>
        <v/>
      </c>
      <c r="T81" s="67">
        <f t="shared" si="7"/>
        <v>365</v>
      </c>
      <c r="U81" s="67" t="str">
        <f t="shared" si="8"/>
        <v/>
      </c>
      <c r="V81" s="72" t="e">
        <f t="shared" si="9"/>
        <v>#VALUE!</v>
      </c>
      <c r="W81" s="73" t="e">
        <f t="shared" si="10"/>
        <v>#VALUE!</v>
      </c>
      <c r="X81" s="67"/>
    </row>
    <row r="82" spans="1:24" x14ac:dyDescent="0.35">
      <c r="A82" s="68" t="str">
        <f t="shared" si="2"/>
        <v/>
      </c>
      <c r="B82" s="64" t="str">
        <f t="shared" si="21"/>
        <v/>
      </c>
      <c r="C82" s="64" t="str">
        <f t="shared" si="4"/>
        <v/>
      </c>
      <c r="D82" s="68" t="str">
        <f t="shared" si="19"/>
        <v/>
      </c>
      <c r="E82" s="65" t="str">
        <f t="shared" si="20"/>
        <v/>
      </c>
      <c r="F82" s="65" t="str">
        <f>IF(AND(A81="",A83=""),"",IF(A82="",ROUND(SUM($F$25:F81),2),IF(A82=$D$8,$E$24-ROUND(SUM($F$25:F81),2),($G$9-G82))))</f>
        <v/>
      </c>
      <c r="G82" s="65" t="str">
        <f>IF(A81=$D$8,ROUND(SUM($G$25:G81),2),IF(A82&gt;$D$8,"",IF(T82&lt;&gt;T81,ROUND(SUM(V82*$D$9*E81/T82,W82*$D$9*E81/T81),2),ROUND(E81*$D$9*D82/T81,2))))</f>
        <v/>
      </c>
      <c r="H82" s="65" t="str">
        <f>IF(A81=$D$8,SUM($H$25:H81),IF(A81&gt;$D$8,"",F82+G82+O82))</f>
        <v/>
      </c>
      <c r="I82" s="74" t="str">
        <f t="shared" si="22"/>
        <v/>
      </c>
      <c r="J82" s="74" t="str">
        <f t="shared" si="23"/>
        <v/>
      </c>
      <c r="K82" s="74" t="s">
        <v>144</v>
      </c>
      <c r="L82" s="74" t="str">
        <f t="shared" si="24"/>
        <v/>
      </c>
      <c r="M82" s="65" t="str">
        <f t="shared" si="17"/>
        <v/>
      </c>
      <c r="N82" s="65" t="str">
        <f t="shared" si="14"/>
        <v/>
      </c>
      <c r="O82" s="65" t="str">
        <f>IF(A81=$D$8,SUM($O$25:O81),IF(A81&gt;$D$8," ",$N$5*$D$6))</f>
        <v xml:space="preserve"> </v>
      </c>
      <c r="P82" s="70" t="str">
        <f>IF(A81=$D$8,XIRR(H$24:H81,C$24:C81),"")</f>
        <v/>
      </c>
      <c r="Q82" s="74" t="str">
        <f t="shared" si="13"/>
        <v/>
      </c>
      <c r="R82" s="65">
        <f t="shared" si="5"/>
        <v>0</v>
      </c>
      <c r="S82" s="67" t="str">
        <f t="shared" si="6"/>
        <v/>
      </c>
      <c r="T82" s="67">
        <f t="shared" si="7"/>
        <v>365</v>
      </c>
      <c r="U82" s="67" t="str">
        <f t="shared" si="8"/>
        <v/>
      </c>
      <c r="V82" s="72" t="e">
        <f t="shared" si="9"/>
        <v>#VALUE!</v>
      </c>
      <c r="W82" s="73" t="e">
        <f t="shared" si="10"/>
        <v>#VALUE!</v>
      </c>
      <c r="X82" s="67"/>
    </row>
    <row r="83" spans="1:24" x14ac:dyDescent="0.35">
      <c r="A83" s="68" t="str">
        <f t="shared" si="2"/>
        <v/>
      </c>
      <c r="B83" s="64" t="str">
        <f t="shared" si="21"/>
        <v/>
      </c>
      <c r="C83" s="64" t="str">
        <f t="shared" si="4"/>
        <v/>
      </c>
      <c r="D83" s="68" t="str">
        <f t="shared" si="19"/>
        <v/>
      </c>
      <c r="E83" s="65" t="str">
        <f t="shared" si="20"/>
        <v/>
      </c>
      <c r="F83" s="65" t="str">
        <f>IF(AND(A82="",A84=""),"",IF(A83="",ROUND(SUM($F$25:F82),2),IF(A83=$D$8,$E$24-ROUND(SUM($F$25:F82),2),($G$9-G83))))</f>
        <v/>
      </c>
      <c r="G83" s="65" t="str">
        <f>IF(A82=$D$8,ROUND(SUM($G$25:G82),2),IF(A83&gt;$D$8,"",IF(T83&lt;&gt;T82,ROUND(SUM(V83*$D$9*E82/T83,W83*$D$9*E82/T82),2),ROUND(E82*$D$9*D83/T82,2))))</f>
        <v/>
      </c>
      <c r="H83" s="65" t="str">
        <f>IF(A82=$D$8,SUM($H$25:H82),IF(A82&gt;$D$8,"",F83+G83+O83))</f>
        <v/>
      </c>
      <c r="I83" s="74" t="str">
        <f t="shared" si="22"/>
        <v/>
      </c>
      <c r="J83" s="74" t="str">
        <f t="shared" si="23"/>
        <v/>
      </c>
      <c r="K83" s="74" t="s">
        <v>144</v>
      </c>
      <c r="L83" s="74" t="str">
        <f t="shared" si="24"/>
        <v/>
      </c>
      <c r="M83" s="65" t="str">
        <f t="shared" si="17"/>
        <v/>
      </c>
      <c r="N83" s="65" t="str">
        <f t="shared" si="14"/>
        <v/>
      </c>
      <c r="O83" s="65" t="str">
        <f>IF(A82=$D$8,SUM($O$25:O82),IF(A82&gt;$D$8," ",$N$5*$D$6))</f>
        <v xml:space="preserve"> </v>
      </c>
      <c r="P83" s="70" t="str">
        <f>IF(A82=$D$8,XIRR(H$24:H82,C$24:C82),"")</f>
        <v/>
      </c>
      <c r="Q83" s="74" t="str">
        <f t="shared" si="13"/>
        <v/>
      </c>
      <c r="R83" s="65">
        <f t="shared" si="5"/>
        <v>0</v>
      </c>
      <c r="S83" s="67" t="str">
        <f t="shared" si="6"/>
        <v/>
      </c>
      <c r="T83" s="67">
        <f t="shared" si="7"/>
        <v>365</v>
      </c>
      <c r="U83" s="67" t="str">
        <f t="shared" si="8"/>
        <v/>
      </c>
      <c r="V83" s="72" t="e">
        <f t="shared" si="9"/>
        <v>#VALUE!</v>
      </c>
      <c r="W83" s="73" t="e">
        <f t="shared" si="10"/>
        <v>#VALUE!</v>
      </c>
      <c r="X83" s="67"/>
    </row>
    <row r="84" spans="1:24" x14ac:dyDescent="0.35">
      <c r="A84" s="68" t="str">
        <f t="shared" si="2"/>
        <v/>
      </c>
      <c r="B84" s="64" t="str">
        <f t="shared" si="21"/>
        <v/>
      </c>
      <c r="C84" s="64" t="str">
        <f t="shared" si="4"/>
        <v/>
      </c>
      <c r="D84" s="68" t="str">
        <f t="shared" si="19"/>
        <v/>
      </c>
      <c r="E84" s="65" t="str">
        <f t="shared" si="20"/>
        <v/>
      </c>
      <c r="F84" s="65" t="str">
        <f>IF(AND(A83="",A85=""),"",IF(A84="",ROUND(SUM($F$25:F83),2),IF(A84=$D$8,$E$24-ROUND(SUM($F$25:F83),2),($G$9-G84))))</f>
        <v/>
      </c>
      <c r="G84" s="65" t="str">
        <f>IF(A83=$D$8,ROUND(SUM($G$25:G83),2),IF(A84&gt;$D$8,"",IF(T84&lt;&gt;T83,ROUND(SUM(V84*$D$9*E83/T84,W84*$D$9*E83/T83),2),ROUND(E83*$D$9*D84/T83,2))))</f>
        <v/>
      </c>
      <c r="H84" s="65" t="str">
        <f>IF(A83=$D$8,SUM($H$25:H83),IF(A83&gt;$D$8,"",F84+G84+O84))</f>
        <v/>
      </c>
      <c r="I84" s="74" t="str">
        <f t="shared" si="22"/>
        <v/>
      </c>
      <c r="J84" s="74" t="str">
        <f t="shared" si="23"/>
        <v/>
      </c>
      <c r="K84" s="74" t="s">
        <v>144</v>
      </c>
      <c r="L84" s="74" t="str">
        <f t="shared" si="24"/>
        <v/>
      </c>
      <c r="M84" s="65" t="str">
        <f t="shared" si="17"/>
        <v/>
      </c>
      <c r="N84" s="65" t="str">
        <f t="shared" si="14"/>
        <v/>
      </c>
      <c r="O84" s="65" t="str">
        <f>IF(A83=$D$8,SUM($O$25:O83),IF(A83&gt;$D$8," ",$N$5*$D$6))</f>
        <v xml:space="preserve"> </v>
      </c>
      <c r="P84" s="70" t="str">
        <f>IF(A83=$D$8,XIRR(H$24:H83,C$24:C83),"")</f>
        <v/>
      </c>
      <c r="Q84" s="74" t="str">
        <f t="shared" si="13"/>
        <v/>
      </c>
      <c r="R84" s="65">
        <f t="shared" si="5"/>
        <v>0</v>
      </c>
      <c r="S84" s="67" t="str">
        <f t="shared" si="6"/>
        <v/>
      </c>
      <c r="T84" s="67">
        <f t="shared" si="7"/>
        <v>365</v>
      </c>
      <c r="U84" s="67" t="str">
        <f t="shared" si="8"/>
        <v/>
      </c>
      <c r="V84" s="72" t="e">
        <f t="shared" si="9"/>
        <v>#VALUE!</v>
      </c>
      <c r="W84" s="73" t="e">
        <f t="shared" si="10"/>
        <v>#VALUE!</v>
      </c>
      <c r="X84" s="67"/>
    </row>
    <row r="85" spans="1:24" x14ac:dyDescent="0.35">
      <c r="A85" s="68" t="str">
        <f t="shared" si="2"/>
        <v/>
      </c>
      <c r="B85" s="64" t="str">
        <f t="shared" si="21"/>
        <v/>
      </c>
      <c r="C85" s="64" t="str">
        <f t="shared" ref="C85:C89" ca="1" si="25">IF(B85=$D$10,B85-1,(IF(B85&gt;$D$10," ",B85)))</f>
        <v xml:space="preserve"> </v>
      </c>
      <c r="D85" s="68" t="str">
        <f t="shared" si="19"/>
        <v/>
      </c>
      <c r="E85" s="65" t="str">
        <f t="shared" si="20"/>
        <v/>
      </c>
      <c r="F85" s="65" t="str">
        <f>IF(AND(A84="",A86=""),"",IF(A85="",ROUND(SUM($F$25:F84),2),IF(A85=$D$8,$E$24-ROUND(SUM($F$25:F84),2),($G$9-G85))))</f>
        <v/>
      </c>
      <c r="G85" s="65" t="str">
        <f>IF(A84=$D$8,ROUND(SUM($G$25:G84),2),IF(A85&gt;$D$8,"",IF(T85&lt;&gt;T84,ROUND(SUM(V85*$D$9*E84/T85,W85*$D$9*E84/T84),2),ROUND(E84*$D$9*D85/T84,2))))</f>
        <v/>
      </c>
      <c r="H85" s="65" t="str">
        <f>IF(A84=$D$8,SUM($H$25:H84),IF(A84&gt;$D$8,"",F85+G85+O85))</f>
        <v/>
      </c>
      <c r="I85" s="75" t="str">
        <f t="shared" si="22"/>
        <v/>
      </c>
      <c r="J85" s="74" t="str">
        <f>IF($D$8&gt;A84,$N$9,IF(A84=60,SUM($J$24:J84)," "))</f>
        <v xml:space="preserve"> </v>
      </c>
      <c r="K85" s="74" t="str">
        <f>IF($D$8&gt;60,($O$8+$N$10*E84),IF($A$84=$D$8,$K$37+$K$24+$K$49+$K$61+$K$73,""))</f>
        <v/>
      </c>
      <c r="L85" s="75" t="str">
        <f t="shared" si="24"/>
        <v/>
      </c>
      <c r="M85" s="65" t="str">
        <f t="shared" si="17"/>
        <v/>
      </c>
      <c r="N85" s="65" t="str">
        <f t="shared" si="14"/>
        <v/>
      </c>
      <c r="O85" s="65" t="str">
        <f>IF(A84=$D$8,SUM($O$25:O84),IF(A84&gt;$D$8," ",$N$5*$D$6))</f>
        <v xml:space="preserve"> </v>
      </c>
      <c r="P85" s="70" t="str">
        <f>IF(A84=$D$8,XIRR(H$24:H84,C$24:C84),"")</f>
        <v/>
      </c>
      <c r="Q85" s="74" t="str">
        <f t="shared" si="13"/>
        <v/>
      </c>
      <c r="R85" s="65">
        <f t="shared" si="5"/>
        <v>0</v>
      </c>
      <c r="S85" s="67" t="e">
        <f t="shared" ca="1" si="6"/>
        <v>#VALUE!</v>
      </c>
      <c r="T85" s="67" t="e">
        <f t="shared" ca="1" si="7"/>
        <v>#VALUE!</v>
      </c>
      <c r="U85" s="67" t="e">
        <f t="shared" ref="U85:U108" ca="1" si="26">IF(C85="","",DAY(C85))</f>
        <v>#VALUE!</v>
      </c>
      <c r="V85" s="72" t="e">
        <f t="shared" ref="V85:V108" ca="1" si="27">U85-1</f>
        <v>#VALUE!</v>
      </c>
      <c r="W85" s="73" t="e">
        <f t="shared" ref="W85:W148" ca="1" si="28">D85-V85</f>
        <v>#VALUE!</v>
      </c>
      <c r="X85" s="67"/>
    </row>
    <row r="86" spans="1:24" x14ac:dyDescent="0.35">
      <c r="A86" s="68" t="str">
        <f t="shared" si="2"/>
        <v/>
      </c>
      <c r="B86" s="64" t="str">
        <f t="shared" si="21"/>
        <v/>
      </c>
      <c r="C86" s="64" t="str">
        <f t="shared" ca="1" si="25"/>
        <v xml:space="preserve"> </v>
      </c>
      <c r="D86" s="68" t="str">
        <f t="shared" si="19"/>
        <v/>
      </c>
      <c r="E86" s="65" t="str">
        <f t="shared" si="20"/>
        <v/>
      </c>
      <c r="F86" s="65" t="str">
        <f>IF(AND(A85="",A87=""),"",IF(A86="",ROUND(SUM($F$25:F85),2),IF(A86=$D$8,$E$24-ROUND(SUM($F$25:F85),2),ROUND($E$24/$D$8,2))))</f>
        <v/>
      </c>
      <c r="G86" s="65" t="str">
        <f>IF(A85=$D$8,ROUND(SUM($G$25:G85),2),IF(A86&gt;$D$8,"",IF(T86&lt;&gt;T85,ROUND(SUM(V86*$D$9*E85/T86,W86*$D$9*E85/T85),2),ROUND(E85*$D$9*D86/T85,2))))</f>
        <v/>
      </c>
      <c r="H86" s="65" t="str">
        <f>IF(A85=$D$8,SUM($H$25:H85),IF(A85&gt;$D$8,"",F86+G86))</f>
        <v/>
      </c>
      <c r="I86" s="74" t="str">
        <f t="shared" si="22"/>
        <v/>
      </c>
      <c r="J86" s="74" t="str">
        <f t="shared" ref="J86:J96" si="29">IF(A85=$D$8,$J$24,"")</f>
        <v/>
      </c>
      <c r="K86" s="74"/>
      <c r="L86" s="74" t="str">
        <f t="shared" si="24"/>
        <v/>
      </c>
      <c r="M86" s="65" t="str">
        <f t="shared" si="17"/>
        <v/>
      </c>
      <c r="N86" s="65" t="str">
        <f t="shared" si="14"/>
        <v/>
      </c>
      <c r="O86" s="65" t="str">
        <f>IF(A85=$D$8,SUM($O$25:O85),IF(A85&gt;D9," ",$N$5*$D$6))</f>
        <v xml:space="preserve"> </v>
      </c>
      <c r="P86" s="70" t="str">
        <f>IF(A85=$D$8,XIRR(H$24:H85,C$24:C85),"")</f>
        <v/>
      </c>
      <c r="Q86" s="74" t="str">
        <f t="shared" si="13"/>
        <v/>
      </c>
      <c r="R86" s="65">
        <f t="shared" si="5"/>
        <v>0</v>
      </c>
      <c r="S86" s="67" t="e">
        <f t="shared" ca="1" si="6"/>
        <v>#VALUE!</v>
      </c>
      <c r="T86" s="67" t="e">
        <f t="shared" ca="1" si="7"/>
        <v>#VALUE!</v>
      </c>
      <c r="U86" s="67" t="e">
        <f t="shared" ca="1" si="26"/>
        <v>#VALUE!</v>
      </c>
      <c r="V86" s="72" t="e">
        <f t="shared" ca="1" si="27"/>
        <v>#VALUE!</v>
      </c>
      <c r="W86" s="73" t="e">
        <f t="shared" ca="1" si="28"/>
        <v>#VALUE!</v>
      </c>
      <c r="X86" s="67"/>
    </row>
    <row r="87" spans="1:24" x14ac:dyDescent="0.35">
      <c r="A87" s="68" t="str">
        <f t="shared" si="2"/>
        <v/>
      </c>
      <c r="B87" s="64" t="str">
        <f t="shared" si="21"/>
        <v/>
      </c>
      <c r="C87" s="64" t="str">
        <f t="shared" ca="1" si="25"/>
        <v xml:space="preserve"> </v>
      </c>
      <c r="D87" s="68" t="str">
        <f t="shared" si="19"/>
        <v/>
      </c>
      <c r="E87" s="65" t="str">
        <f t="shared" si="20"/>
        <v/>
      </c>
      <c r="F87" s="65" t="str">
        <f>IF(AND(A86="",A88=""),"",IF(A87="",ROUND(SUM($F$25:F86),2),IF(A87=$D$8,$E$24-ROUND(SUM($F$25:F86),2),ROUND($E$24/$D$8,2))))</f>
        <v/>
      </c>
      <c r="G87" s="65" t="str">
        <f>IF(A86=$D$8,ROUND(SUM($G$25:G86),2),IF(A87&gt;$D$8,"",IF(T87&lt;&gt;T86,ROUND(SUM(V87*$D$9*E86/T87,W87*$D$9*E86/T86),2),ROUND(E86*$D$9*D87/T86,2))))</f>
        <v/>
      </c>
      <c r="H87" s="65" t="str">
        <f>IF(A86=$D$8,SUM($H$25:H86),IF(A86&gt;$D$8,"",F87+G87))</f>
        <v/>
      </c>
      <c r="I87" s="74" t="str">
        <f t="shared" si="22"/>
        <v/>
      </c>
      <c r="J87" s="74" t="str">
        <f t="shared" si="29"/>
        <v/>
      </c>
      <c r="K87" s="74"/>
      <c r="L87" s="74" t="str">
        <f t="shared" si="24"/>
        <v/>
      </c>
      <c r="M87" s="65" t="str">
        <f t="shared" si="17"/>
        <v/>
      </c>
      <c r="N87" s="65" t="str">
        <f t="shared" si="14"/>
        <v/>
      </c>
      <c r="O87" s="65"/>
      <c r="P87" s="70" t="str">
        <f>IF(A86=$D$8,XIRR(H$24:H86,C$24:C86),"")</f>
        <v/>
      </c>
      <c r="Q87" s="74" t="str">
        <f t="shared" si="13"/>
        <v/>
      </c>
      <c r="R87" s="65">
        <f t="shared" si="5"/>
        <v>0</v>
      </c>
      <c r="S87" s="67" t="e">
        <f t="shared" ca="1" si="6"/>
        <v>#VALUE!</v>
      </c>
      <c r="T87" s="67" t="e">
        <f t="shared" ca="1" si="7"/>
        <v>#VALUE!</v>
      </c>
      <c r="U87" s="67" t="e">
        <f t="shared" ca="1" si="26"/>
        <v>#VALUE!</v>
      </c>
      <c r="V87" s="72" t="e">
        <f t="shared" ca="1" si="27"/>
        <v>#VALUE!</v>
      </c>
      <c r="W87" s="73" t="e">
        <f t="shared" ca="1" si="28"/>
        <v>#VALUE!</v>
      </c>
      <c r="X87" s="67"/>
    </row>
    <row r="88" spans="1:24" x14ac:dyDescent="0.35">
      <c r="A88" s="68" t="str">
        <f t="shared" si="2"/>
        <v/>
      </c>
      <c r="B88" s="64" t="str">
        <f t="shared" si="21"/>
        <v/>
      </c>
      <c r="C88" s="64" t="str">
        <f t="shared" ca="1" si="25"/>
        <v xml:space="preserve"> </v>
      </c>
      <c r="D88" s="68" t="str">
        <f t="shared" si="19"/>
        <v/>
      </c>
      <c r="E88" s="65" t="str">
        <f t="shared" si="20"/>
        <v/>
      </c>
      <c r="F88" s="65" t="str">
        <f>IF(AND(A87="",A89=""),"",IF(A88="",ROUND(SUM($F$25:F87),2),IF(A88=$D$8,$E$24-ROUND(SUM($F$25:F87),2),ROUND($E$24/$D$8,2))))</f>
        <v/>
      </c>
      <c r="G88" s="65" t="str">
        <f>IF(A87=$D$8,ROUND(SUM($G$25:G87),2),IF(A88&gt;$D$8,"",IF(T88&lt;&gt;T87,ROUND(SUM(V88*$D$9*E87/T88,W88*$D$9*E87/T87),2),ROUND(E87*$D$9*D88/T87,2))))</f>
        <v/>
      </c>
      <c r="H88" s="65" t="str">
        <f>IF(A87=$D$8,SUM($H$25:H87),IF(A87&gt;$D$8,"",F88+G88))</f>
        <v/>
      </c>
      <c r="I88" s="74" t="str">
        <f t="shared" si="22"/>
        <v/>
      </c>
      <c r="J88" s="74" t="str">
        <f t="shared" si="29"/>
        <v/>
      </c>
      <c r="K88" s="74"/>
      <c r="L88" s="74" t="str">
        <f t="shared" si="24"/>
        <v/>
      </c>
      <c r="M88" s="65" t="str">
        <f t="shared" si="17"/>
        <v/>
      </c>
      <c r="N88" s="65" t="str">
        <f t="shared" si="14"/>
        <v/>
      </c>
      <c r="O88" s="65"/>
      <c r="P88" s="70" t="str">
        <f>IF(A87=$D$8,XIRR(H$24:H87,C$24:C87),"")</f>
        <v/>
      </c>
      <c r="Q88" s="74" t="str">
        <f t="shared" si="13"/>
        <v/>
      </c>
      <c r="R88" s="65">
        <f t="shared" si="5"/>
        <v>0</v>
      </c>
      <c r="S88" s="67" t="e">
        <f t="shared" ca="1" si="6"/>
        <v>#VALUE!</v>
      </c>
      <c r="T88" s="67" t="e">
        <f t="shared" ca="1" si="7"/>
        <v>#VALUE!</v>
      </c>
      <c r="U88" s="67" t="e">
        <f t="shared" ca="1" si="26"/>
        <v>#VALUE!</v>
      </c>
      <c r="V88" s="72" t="e">
        <f t="shared" ca="1" si="27"/>
        <v>#VALUE!</v>
      </c>
      <c r="W88" s="73" t="e">
        <f t="shared" ca="1" si="28"/>
        <v>#VALUE!</v>
      </c>
      <c r="X88" s="67"/>
    </row>
    <row r="89" spans="1:24" x14ac:dyDescent="0.35">
      <c r="A89" s="68" t="str">
        <f t="shared" si="2"/>
        <v/>
      </c>
      <c r="B89" s="64" t="str">
        <f t="shared" si="21"/>
        <v/>
      </c>
      <c r="C89" s="64" t="str">
        <f t="shared" ca="1" si="25"/>
        <v xml:space="preserve"> </v>
      </c>
      <c r="D89" s="68" t="str">
        <f t="shared" si="19"/>
        <v/>
      </c>
      <c r="E89" s="65" t="str">
        <f t="shared" si="20"/>
        <v/>
      </c>
      <c r="F89" s="65" t="str">
        <f>IF(AND(A88="",A90=""),"",IF(A89="",ROUND(SUM($F$25:F88),2),IF(A89=$D$8,$E$24-ROUND(SUM($F$25:F88),2),ROUND($E$24/$D$8,2))))</f>
        <v/>
      </c>
      <c r="G89" s="65" t="str">
        <f>IF(A88=$D$8,ROUND(SUM($G$25:G88),2),IF(A89&gt;$D$8,"",IF(T89&lt;&gt;T88,ROUND(SUM(V89*$D$9*E88/T89,W89*$D$9*E88/T88),2),ROUND(E88*$D$9*D89/T88,2))))</f>
        <v/>
      </c>
      <c r="H89" s="65" t="str">
        <f>IF(A88=$D$8,SUM($H$25:H88),IF(A88&gt;$D$8,"",F89+G89))</f>
        <v/>
      </c>
      <c r="I89" s="74" t="str">
        <f t="shared" si="22"/>
        <v/>
      </c>
      <c r="J89" s="74" t="str">
        <f t="shared" si="29"/>
        <v/>
      </c>
      <c r="K89" s="74"/>
      <c r="L89" s="74" t="str">
        <f t="shared" si="24"/>
        <v/>
      </c>
      <c r="M89" s="65" t="str">
        <f t="shared" si="17"/>
        <v/>
      </c>
      <c r="N89" s="65" t="str">
        <f t="shared" si="14"/>
        <v/>
      </c>
      <c r="O89" s="65"/>
      <c r="P89" s="70" t="str">
        <f>IF(A88=$D$8,XIRR(H$24:H88,C$24:C88),"")</f>
        <v/>
      </c>
      <c r="Q89" s="74" t="str">
        <f t="shared" si="13"/>
        <v/>
      </c>
      <c r="R89" s="65">
        <f t="shared" si="5"/>
        <v>0</v>
      </c>
      <c r="S89" s="67" t="e">
        <f t="shared" ca="1" si="6"/>
        <v>#VALUE!</v>
      </c>
      <c r="T89" s="67" t="e">
        <f t="shared" ca="1" si="7"/>
        <v>#VALUE!</v>
      </c>
      <c r="U89" s="67" t="e">
        <f t="shared" ca="1" si="26"/>
        <v>#VALUE!</v>
      </c>
      <c r="V89" s="72" t="e">
        <f t="shared" ca="1" si="27"/>
        <v>#VALUE!</v>
      </c>
      <c r="W89" s="73" t="e">
        <f t="shared" ca="1" si="28"/>
        <v>#VALUE!</v>
      </c>
      <c r="X89" s="67"/>
    </row>
    <row r="90" spans="1:24" x14ac:dyDescent="0.35">
      <c r="A90" s="68" t="str">
        <f t="shared" ref="A90:A153" si="30">IF(A89&lt;$D$8,A89+1,"")</f>
        <v/>
      </c>
      <c r="B90" s="64" t="str">
        <f t="shared" si="21"/>
        <v/>
      </c>
      <c r="C90" s="64" t="str">
        <f t="shared" ref="C90:C153" ca="1" si="31">IF(B90=$D$10,B90-1,(IF(B90&gt;$D$10," ",B90)))</f>
        <v xml:space="preserve"> </v>
      </c>
      <c r="D90" s="68" t="str">
        <f t="shared" si="19"/>
        <v/>
      </c>
      <c r="E90" s="65" t="str">
        <f t="shared" si="20"/>
        <v/>
      </c>
      <c r="F90" s="65" t="str">
        <f>IF(AND(A89="",A91=""),"",IF(A90="",ROUND(SUM($F$25:F89),2),IF(A90=$D$8,$E$24-ROUND(SUM($F$25:F89),2),ROUND($E$24/$D$8,2))))</f>
        <v/>
      </c>
      <c r="G90" s="65" t="str">
        <f>IF(A89=$D$8,ROUND(SUM($G$25:G89),2),IF(A90&gt;$D$8,"",IF(T90&lt;&gt;T89,ROUND(SUM(V90*$D$9*E89/T90,W90*$D$9*E89/T89),2),ROUND(E89*$D$9*D90/T89,2))))</f>
        <v/>
      </c>
      <c r="H90" s="65" t="str">
        <f>IF(A89=$D$8,SUM($H$25:H89),IF(A89&gt;$D$8,"",F90+G90))</f>
        <v/>
      </c>
      <c r="I90" s="74" t="str">
        <f t="shared" si="22"/>
        <v/>
      </c>
      <c r="J90" s="74" t="str">
        <f t="shared" si="29"/>
        <v/>
      </c>
      <c r="K90" s="74"/>
      <c r="L90" s="74" t="str">
        <f t="shared" si="24"/>
        <v/>
      </c>
      <c r="M90" s="65" t="str">
        <f t="shared" si="17"/>
        <v/>
      </c>
      <c r="N90" s="65" t="str">
        <f t="shared" si="14"/>
        <v/>
      </c>
      <c r="O90" s="65"/>
      <c r="P90" s="70" t="str">
        <f>IF(A89=$D$8,XIRR(H$24:H89,C$24:C89),"")</f>
        <v/>
      </c>
      <c r="Q90" s="74" t="str">
        <f t="shared" si="13"/>
        <v/>
      </c>
      <c r="R90" s="65">
        <f t="shared" ref="R90:R153" si="32">SUM(H90:Q90)</f>
        <v>0</v>
      </c>
      <c r="S90" s="67" t="e">
        <f t="shared" ref="S90:S153" ca="1" si="33">IF(C90="","",YEAR(C90))</f>
        <v>#VALUE!</v>
      </c>
      <c r="T90" s="67" t="e">
        <f t="shared" ref="T90:T153" ca="1" si="34">IF(OR(S90=2024,S90=2028,S90=2016,S90=2020,S90=2024,S90=2028,S90=2032,S90=2036,S90=2040),366,365)</f>
        <v>#VALUE!</v>
      </c>
      <c r="U90" s="67" t="e">
        <f t="shared" ca="1" si="26"/>
        <v>#VALUE!</v>
      </c>
      <c r="V90" s="72" t="e">
        <f t="shared" ca="1" si="27"/>
        <v>#VALUE!</v>
      </c>
      <c r="W90" s="73" t="e">
        <f t="shared" ca="1" si="28"/>
        <v>#VALUE!</v>
      </c>
      <c r="X90" s="67"/>
    </row>
    <row r="91" spans="1:24" x14ac:dyDescent="0.35">
      <c r="A91" s="68" t="str">
        <f t="shared" si="30"/>
        <v/>
      </c>
      <c r="B91" s="64" t="str">
        <f t="shared" si="21"/>
        <v/>
      </c>
      <c r="C91" s="64" t="str">
        <f t="shared" ca="1" si="31"/>
        <v xml:space="preserve"> </v>
      </c>
      <c r="D91" s="68" t="str">
        <f t="shared" si="19"/>
        <v/>
      </c>
      <c r="E91" s="65" t="str">
        <f t="shared" si="20"/>
        <v/>
      </c>
      <c r="F91" s="65" t="str">
        <f>IF(AND(A90="",A92=""),"",IF(A91="",ROUND(SUM($F$25:F90),2),IF(A91=$D$8,$E$24-ROUND(SUM($F$25:F90),2),ROUND($E$24/$D$8,2))))</f>
        <v/>
      </c>
      <c r="G91" s="65" t="str">
        <f>IF(A90=$D$8,ROUND(SUM($G$25:G90),2),IF(A91&gt;$D$8,"",IF(T91&lt;&gt;T90,ROUND(SUM(V91*$D$9*E90/T91,W91*$D$9*E90/T90),2),ROUND(E90*$D$9*D91/T90,2))))</f>
        <v/>
      </c>
      <c r="H91" s="65" t="str">
        <f>IF(A90=$D$8,SUM($H$25:H90),IF(A90&gt;$D$8,"",F91+G91))</f>
        <v/>
      </c>
      <c r="I91" s="74" t="str">
        <f t="shared" si="22"/>
        <v/>
      </c>
      <c r="J91" s="74" t="str">
        <f t="shared" si="29"/>
        <v/>
      </c>
      <c r="K91" s="74"/>
      <c r="L91" s="74" t="str">
        <f t="shared" si="24"/>
        <v/>
      </c>
      <c r="M91" s="65" t="str">
        <f t="shared" si="17"/>
        <v/>
      </c>
      <c r="N91" s="65" t="str">
        <f t="shared" si="14"/>
        <v/>
      </c>
      <c r="O91" s="65"/>
      <c r="P91" s="70" t="str">
        <f>IF(A90=$D$8,XIRR(H$24:H90,C$24:C90),"")</f>
        <v/>
      </c>
      <c r="Q91" s="74" t="str">
        <f t="shared" ref="Q91:Q154" si="35">IF(A90=$D$8,G91+M91+F91+I91+J91+K91+L91+N91+O91,"")</f>
        <v/>
      </c>
      <c r="R91" s="65">
        <f t="shared" si="32"/>
        <v>0</v>
      </c>
      <c r="S91" s="67" t="e">
        <f t="shared" ca="1" si="33"/>
        <v>#VALUE!</v>
      </c>
      <c r="T91" s="67" t="e">
        <f t="shared" ca="1" si="34"/>
        <v>#VALUE!</v>
      </c>
      <c r="U91" s="67" t="e">
        <f t="shared" ca="1" si="26"/>
        <v>#VALUE!</v>
      </c>
      <c r="V91" s="72" t="e">
        <f t="shared" ca="1" si="27"/>
        <v>#VALUE!</v>
      </c>
      <c r="W91" s="73" t="e">
        <f t="shared" ca="1" si="28"/>
        <v>#VALUE!</v>
      </c>
      <c r="X91" s="67"/>
    </row>
    <row r="92" spans="1:24" x14ac:dyDescent="0.35">
      <c r="A92" s="68" t="str">
        <f t="shared" si="30"/>
        <v/>
      </c>
      <c r="B92" s="64" t="str">
        <f t="shared" si="21"/>
        <v/>
      </c>
      <c r="C92" s="64" t="str">
        <f t="shared" ca="1" si="31"/>
        <v xml:space="preserve"> </v>
      </c>
      <c r="D92" s="68" t="str">
        <f t="shared" si="19"/>
        <v/>
      </c>
      <c r="E92" s="65" t="str">
        <f t="shared" si="20"/>
        <v/>
      </c>
      <c r="F92" s="65" t="str">
        <f>IF(AND(A91="",A93=""),"",IF(A92="",ROUND(SUM($F$25:F91),2),IF(A92=$D$8,$E$24-ROUND(SUM($F$25:F91),2),ROUND($E$24/$D$8,2))))</f>
        <v/>
      </c>
      <c r="G92" s="65" t="str">
        <f>IF(A91=$D$8,ROUND(SUM($G$25:G91),2),IF(A92&gt;$D$8,"",IF(T92&lt;&gt;T91,ROUND(SUM(V92*$D$9*E91/T92,W92*$D$9*E91/T91),2),ROUND(E91*$D$9*D92/T91,2))))</f>
        <v/>
      </c>
      <c r="H92" s="65" t="str">
        <f>IF(A91=$D$8,SUM($H$25:H91),IF(A91&gt;$D$8,"",F92+G92))</f>
        <v/>
      </c>
      <c r="I92" s="74" t="str">
        <f t="shared" si="22"/>
        <v/>
      </c>
      <c r="J92" s="74" t="str">
        <f t="shared" si="29"/>
        <v/>
      </c>
      <c r="K92" s="74"/>
      <c r="L92" s="74" t="str">
        <f t="shared" si="24"/>
        <v/>
      </c>
      <c r="M92" s="65" t="str">
        <f t="shared" ref="M92:M155" si="36">IF(A91=$D$8,$M$24,"")</f>
        <v/>
      </c>
      <c r="N92" s="65" t="str">
        <f t="shared" si="14"/>
        <v/>
      </c>
      <c r="O92" s="65"/>
      <c r="P92" s="70" t="str">
        <f>IF(A91=$D$8,XIRR(H$24:H91,C$24:C91),"")</f>
        <v/>
      </c>
      <c r="Q92" s="74" t="str">
        <f t="shared" si="35"/>
        <v/>
      </c>
      <c r="R92" s="65">
        <f t="shared" si="32"/>
        <v>0</v>
      </c>
      <c r="S92" s="67" t="e">
        <f t="shared" ca="1" si="33"/>
        <v>#VALUE!</v>
      </c>
      <c r="T92" s="67" t="e">
        <f t="shared" ca="1" si="34"/>
        <v>#VALUE!</v>
      </c>
      <c r="U92" s="67" t="e">
        <f t="shared" ca="1" si="26"/>
        <v>#VALUE!</v>
      </c>
      <c r="V92" s="72" t="e">
        <f t="shared" ca="1" si="27"/>
        <v>#VALUE!</v>
      </c>
      <c r="W92" s="73" t="e">
        <f t="shared" ca="1" si="28"/>
        <v>#VALUE!</v>
      </c>
      <c r="X92" s="67"/>
    </row>
    <row r="93" spans="1:24" x14ac:dyDescent="0.35">
      <c r="A93" s="68" t="str">
        <f t="shared" si="30"/>
        <v/>
      </c>
      <c r="B93" s="64" t="str">
        <f t="shared" si="21"/>
        <v/>
      </c>
      <c r="C93" s="64" t="str">
        <f t="shared" ca="1" si="31"/>
        <v xml:space="preserve"> </v>
      </c>
      <c r="D93" s="68" t="str">
        <f t="shared" si="19"/>
        <v/>
      </c>
      <c r="E93" s="65" t="str">
        <f t="shared" si="20"/>
        <v/>
      </c>
      <c r="F93" s="65" t="str">
        <f>IF(AND(A92="",A94=""),"",IF(A93="",ROUND(SUM($F$25:F92),2),IF(A93=$D$8,$E$24-ROUND(SUM($F$25:F92),2),ROUND($E$24/$D$8,2))))</f>
        <v/>
      </c>
      <c r="G93" s="65" t="str">
        <f>IF(A92=$D$8,ROUND(SUM($G$25:G92),2),IF(A93&gt;$D$8,"",IF(T93&lt;&gt;T92,ROUND(SUM(V93*$D$9*E92/T93,W93*$D$9*E92/T92),2),ROUND(E92*$D$9*D93/T92,2))))</f>
        <v/>
      </c>
      <c r="H93" s="65" t="str">
        <f>IF(A92=$D$8,SUM($H$25:H92),IF(A92&gt;$D$8,"",F93+G93))</f>
        <v/>
      </c>
      <c r="I93" s="74" t="str">
        <f t="shared" si="22"/>
        <v/>
      </c>
      <c r="J93" s="74" t="str">
        <f t="shared" si="29"/>
        <v/>
      </c>
      <c r="K93" s="74"/>
      <c r="L93" s="74" t="str">
        <f t="shared" si="24"/>
        <v/>
      </c>
      <c r="M93" s="65" t="str">
        <f t="shared" si="36"/>
        <v/>
      </c>
      <c r="N93" s="65" t="str">
        <f t="shared" ref="N93:N156" si="37">IF(A92=$D$8,$N$24,"")</f>
        <v/>
      </c>
      <c r="O93" s="65"/>
      <c r="P93" s="70" t="str">
        <f>IF(A92=$D$8,XIRR(H$24:H92,C$24:C92),"")</f>
        <v/>
      </c>
      <c r="Q93" s="74" t="str">
        <f t="shared" si="35"/>
        <v/>
      </c>
      <c r="R93" s="65">
        <f t="shared" si="32"/>
        <v>0</v>
      </c>
      <c r="S93" s="67" t="e">
        <f t="shared" ca="1" si="33"/>
        <v>#VALUE!</v>
      </c>
      <c r="T93" s="67" t="e">
        <f t="shared" ca="1" si="34"/>
        <v>#VALUE!</v>
      </c>
      <c r="U93" s="67" t="e">
        <f t="shared" ca="1" si="26"/>
        <v>#VALUE!</v>
      </c>
      <c r="V93" s="72" t="e">
        <f t="shared" ca="1" si="27"/>
        <v>#VALUE!</v>
      </c>
      <c r="W93" s="73" t="e">
        <f t="shared" ca="1" si="28"/>
        <v>#VALUE!</v>
      </c>
      <c r="X93" s="67"/>
    </row>
    <row r="94" spans="1:24" x14ac:dyDescent="0.35">
      <c r="A94" s="68" t="str">
        <f t="shared" si="30"/>
        <v/>
      </c>
      <c r="B94" s="64" t="str">
        <f t="shared" si="21"/>
        <v/>
      </c>
      <c r="C94" s="64" t="str">
        <f t="shared" ca="1" si="31"/>
        <v xml:space="preserve"> </v>
      </c>
      <c r="D94" s="68" t="str">
        <f t="shared" si="19"/>
        <v/>
      </c>
      <c r="E94" s="65" t="str">
        <f t="shared" si="20"/>
        <v/>
      </c>
      <c r="F94" s="65" t="str">
        <f>IF(AND(A93="",A95=""),"",IF(A94="",ROUND(SUM($F$25:F93),2),IF(A94=$D$8,$E$24-ROUND(SUM($F$25:F93),2),ROUND($E$24/$D$8,2))))</f>
        <v/>
      </c>
      <c r="G94" s="65" t="str">
        <f>IF(A93=$D$8,ROUND(SUM($G$25:G93),2),IF(A94&gt;$D$8,"",IF(T94&lt;&gt;T93,ROUND(SUM(V94*$D$9*E93/T94,W94*$D$9*E93/T93),2),ROUND(E93*$D$9*D94/T93,2))))</f>
        <v/>
      </c>
      <c r="H94" s="65" t="str">
        <f>IF(A93=$D$8,SUM($H$25:H93),IF(A93&gt;$D$8,"",F94+G94))</f>
        <v/>
      </c>
      <c r="I94" s="74" t="str">
        <f t="shared" si="22"/>
        <v/>
      </c>
      <c r="J94" s="74" t="str">
        <f t="shared" si="29"/>
        <v/>
      </c>
      <c r="K94" s="74"/>
      <c r="L94" s="74" t="str">
        <f t="shared" si="24"/>
        <v/>
      </c>
      <c r="M94" s="65" t="str">
        <f t="shared" si="36"/>
        <v/>
      </c>
      <c r="N94" s="65" t="str">
        <f t="shared" si="37"/>
        <v/>
      </c>
      <c r="O94" s="65"/>
      <c r="P94" s="70" t="str">
        <f>IF(A93=$D$8,XIRR(H$24:H93,C$24:C93),"")</f>
        <v/>
      </c>
      <c r="Q94" s="74" t="str">
        <f t="shared" si="35"/>
        <v/>
      </c>
      <c r="R94" s="65">
        <f t="shared" si="32"/>
        <v>0</v>
      </c>
      <c r="S94" s="67" t="e">
        <f t="shared" ca="1" si="33"/>
        <v>#VALUE!</v>
      </c>
      <c r="T94" s="67" t="e">
        <f t="shared" ca="1" si="34"/>
        <v>#VALUE!</v>
      </c>
      <c r="U94" s="67" t="e">
        <f t="shared" ca="1" si="26"/>
        <v>#VALUE!</v>
      </c>
      <c r="V94" s="72" t="e">
        <f t="shared" ca="1" si="27"/>
        <v>#VALUE!</v>
      </c>
      <c r="W94" s="73" t="e">
        <f t="shared" ca="1" si="28"/>
        <v>#VALUE!</v>
      </c>
      <c r="X94" s="67"/>
    </row>
    <row r="95" spans="1:24" x14ac:dyDescent="0.35">
      <c r="A95" s="68" t="str">
        <f t="shared" si="30"/>
        <v/>
      </c>
      <c r="B95" s="64" t="str">
        <f t="shared" si="21"/>
        <v/>
      </c>
      <c r="C95" s="64" t="str">
        <f t="shared" ca="1" si="31"/>
        <v xml:space="preserve"> </v>
      </c>
      <c r="D95" s="68" t="str">
        <f t="shared" si="19"/>
        <v/>
      </c>
      <c r="E95" s="65" t="str">
        <f t="shared" si="20"/>
        <v/>
      </c>
      <c r="F95" s="65" t="str">
        <f>IF(AND(A94="",A96=""),"",IF(A95="",ROUND(SUM($F$25:F94),2),IF(A95=$D$8,$E$24-ROUND(SUM($F$25:F94),2),ROUND($E$24/$D$8,2))))</f>
        <v/>
      </c>
      <c r="G95" s="65" t="str">
        <f>IF(A94=$D$8,ROUND(SUM($G$25:G94),2),IF(A95&gt;$D$8,"",IF(T95&lt;&gt;T94,ROUND(SUM(V95*$D$9*E94/T95,W95*$D$9*E94/T94),2),ROUND(E94*$D$9*D95/T94,2))))</f>
        <v/>
      </c>
      <c r="H95" s="65" t="str">
        <f>IF(A94=$D$8,SUM($H$25:H94),IF(A94&gt;$D$8,"",F95+G95))</f>
        <v/>
      </c>
      <c r="I95" s="74" t="str">
        <f t="shared" si="22"/>
        <v/>
      </c>
      <c r="J95" s="74" t="str">
        <f t="shared" si="29"/>
        <v/>
      </c>
      <c r="K95" s="74"/>
      <c r="L95" s="74" t="str">
        <f t="shared" si="24"/>
        <v/>
      </c>
      <c r="M95" s="65" t="str">
        <f t="shared" si="36"/>
        <v/>
      </c>
      <c r="N95" s="65" t="str">
        <f t="shared" si="37"/>
        <v/>
      </c>
      <c r="O95" s="65"/>
      <c r="P95" s="70" t="str">
        <f>IF(A94=$D$8,XIRR(H$24:H94,C$24:C94),"")</f>
        <v/>
      </c>
      <c r="Q95" s="74" t="str">
        <f t="shared" si="35"/>
        <v/>
      </c>
      <c r="R95" s="65">
        <f t="shared" si="32"/>
        <v>0</v>
      </c>
      <c r="S95" s="67" t="e">
        <f t="shared" ca="1" si="33"/>
        <v>#VALUE!</v>
      </c>
      <c r="T95" s="67" t="e">
        <f t="shared" ca="1" si="34"/>
        <v>#VALUE!</v>
      </c>
      <c r="U95" s="67" t="e">
        <f t="shared" ca="1" si="26"/>
        <v>#VALUE!</v>
      </c>
      <c r="V95" s="72" t="e">
        <f t="shared" ca="1" si="27"/>
        <v>#VALUE!</v>
      </c>
      <c r="W95" s="73" t="e">
        <f t="shared" ca="1" si="28"/>
        <v>#VALUE!</v>
      </c>
      <c r="X95" s="67"/>
    </row>
    <row r="96" spans="1:24" x14ac:dyDescent="0.35">
      <c r="A96" s="68" t="str">
        <f t="shared" si="30"/>
        <v/>
      </c>
      <c r="B96" s="64" t="str">
        <f t="shared" si="21"/>
        <v/>
      </c>
      <c r="C96" s="64" t="str">
        <f t="shared" ca="1" si="31"/>
        <v xml:space="preserve"> </v>
      </c>
      <c r="D96" s="68" t="str">
        <f t="shared" si="19"/>
        <v/>
      </c>
      <c r="E96" s="65" t="str">
        <f t="shared" si="20"/>
        <v/>
      </c>
      <c r="F96" s="65" t="str">
        <f>IF(AND(A95="",A97=""),"",IF(A96="",ROUND(SUM($F$25:F95),2),IF(A96=$D$8,$E$24-ROUND(SUM($F$25:F95),2),ROUND($E$24/$D$8,2))))</f>
        <v/>
      </c>
      <c r="G96" s="65" t="str">
        <f>IF(A95=$D$8,ROUND(SUM($G$25:G95),2),IF(A96&gt;$D$8,"",IF(T96&lt;&gt;T95,ROUND(SUM(V96*$D$9*E95/T96,W96*$D$9*E95/T95),2),ROUND(E95*$D$9*D96/T95,2))))</f>
        <v/>
      </c>
      <c r="H96" s="65" t="str">
        <f>IF(A95=$D$8,SUM($H$25:H95),IF(A95&gt;$D$8,"",F96+G96))</f>
        <v/>
      </c>
      <c r="I96" s="74" t="str">
        <f t="shared" si="22"/>
        <v/>
      </c>
      <c r="J96" s="74" t="str">
        <f t="shared" si="29"/>
        <v/>
      </c>
      <c r="K96" s="74"/>
      <c r="L96" s="74" t="str">
        <f t="shared" si="24"/>
        <v/>
      </c>
      <c r="M96" s="65" t="str">
        <f t="shared" si="36"/>
        <v/>
      </c>
      <c r="N96" s="65" t="str">
        <f t="shared" si="37"/>
        <v/>
      </c>
      <c r="O96" s="65"/>
      <c r="P96" s="70" t="str">
        <f>IF(A95=$D$8,XIRR(H$24:H95,C$24:C95),"")</f>
        <v/>
      </c>
      <c r="Q96" s="74" t="str">
        <f t="shared" si="35"/>
        <v/>
      </c>
      <c r="R96" s="65">
        <f t="shared" si="32"/>
        <v>0</v>
      </c>
      <c r="S96" s="67" t="e">
        <f t="shared" ca="1" si="33"/>
        <v>#VALUE!</v>
      </c>
      <c r="T96" s="67" t="e">
        <f t="shared" ca="1" si="34"/>
        <v>#VALUE!</v>
      </c>
      <c r="U96" s="67" t="e">
        <f t="shared" ca="1" si="26"/>
        <v>#VALUE!</v>
      </c>
      <c r="V96" s="72" t="e">
        <f t="shared" ca="1" si="27"/>
        <v>#VALUE!</v>
      </c>
      <c r="W96" s="73" t="e">
        <f t="shared" ca="1" si="28"/>
        <v>#VALUE!</v>
      </c>
      <c r="X96" s="67"/>
    </row>
    <row r="97" spans="1:27" x14ac:dyDescent="0.35">
      <c r="A97" s="68" t="str">
        <f t="shared" si="30"/>
        <v/>
      </c>
      <c r="B97" s="64" t="str">
        <f t="shared" si="21"/>
        <v/>
      </c>
      <c r="C97" s="64" t="str">
        <f t="shared" ca="1" si="31"/>
        <v xml:space="preserve"> </v>
      </c>
      <c r="D97" s="68" t="str">
        <f t="shared" si="19"/>
        <v/>
      </c>
      <c r="E97" s="65" t="str">
        <f t="shared" si="20"/>
        <v/>
      </c>
      <c r="F97" s="65" t="str">
        <f>IF(AND(A96="",A98=""),"",IF(A97="",ROUND(SUM($F$25:F96),2),IF(A97=$D$8,$E$24-ROUND(SUM($F$25:F96),2),ROUND($E$24/$D$8,2))))</f>
        <v/>
      </c>
      <c r="G97" s="65" t="str">
        <f>IF(A96=$D$8,ROUND(SUM($G$25:G96),2),IF(A97&gt;$D$8,"",IF(T97&lt;&gt;T96,ROUND(SUM(V97*$D$9*E96/T97,W97*$D$9*E96/T96),2),ROUND(E96*$D$9*D97/T96,2))))</f>
        <v/>
      </c>
      <c r="H97" s="65" t="str">
        <f>IF(A96=$D$8,SUM($H$25:H96),IF(A96&gt;$D$8,"",F97+G97))</f>
        <v/>
      </c>
      <c r="I97" s="74" t="str">
        <f t="shared" si="22"/>
        <v/>
      </c>
      <c r="J97" s="74" t="str">
        <f>IF($D$8&gt;A96,$N$9,IF($D$8=A96,SUM($J$24:J96)," "))</f>
        <v xml:space="preserve"> </v>
      </c>
      <c r="K97" s="74" t="str">
        <f>IF($D$8&gt;72,($O$8+$N$10*E96),IF($A$96=$D$8,$K$37+$K$24+$K$49+$K$61+$K$73+$K$85,""))</f>
        <v/>
      </c>
      <c r="L97" s="74" t="str">
        <f t="shared" si="24"/>
        <v/>
      </c>
      <c r="M97" s="65" t="str">
        <f t="shared" si="36"/>
        <v/>
      </c>
      <c r="N97" s="65" t="str">
        <f t="shared" si="37"/>
        <v/>
      </c>
      <c r="O97" s="65"/>
      <c r="P97" s="70" t="str">
        <f>IF(A96=$D$8,XIRR(H$24:H96,C$24:C96),"")</f>
        <v/>
      </c>
      <c r="Q97" s="74" t="str">
        <f t="shared" si="35"/>
        <v/>
      </c>
      <c r="R97" s="65">
        <f t="shared" si="32"/>
        <v>0</v>
      </c>
      <c r="S97" s="67" t="e">
        <f t="shared" ca="1" si="33"/>
        <v>#VALUE!</v>
      </c>
      <c r="T97" s="67" t="e">
        <f t="shared" ca="1" si="34"/>
        <v>#VALUE!</v>
      </c>
      <c r="U97" s="67" t="e">
        <f t="shared" ca="1" si="26"/>
        <v>#VALUE!</v>
      </c>
      <c r="V97" s="72" t="e">
        <f t="shared" ca="1" si="27"/>
        <v>#VALUE!</v>
      </c>
      <c r="W97" s="73" t="e">
        <f t="shared" ca="1" si="28"/>
        <v>#VALUE!</v>
      </c>
      <c r="X97" s="67"/>
    </row>
    <row r="98" spans="1:27" x14ac:dyDescent="0.35">
      <c r="A98" s="68" t="str">
        <f t="shared" si="30"/>
        <v/>
      </c>
      <c r="B98" s="64" t="str">
        <f t="shared" si="21"/>
        <v/>
      </c>
      <c r="C98" s="64" t="str">
        <f t="shared" ca="1" si="31"/>
        <v xml:space="preserve"> </v>
      </c>
      <c r="D98" s="68" t="str">
        <f t="shared" si="19"/>
        <v/>
      </c>
      <c r="E98" s="65" t="str">
        <f t="shared" si="20"/>
        <v/>
      </c>
      <c r="F98" s="65" t="str">
        <f>IF(AND(A97="",A99=""),"",IF(A98="",ROUND(SUM($F$25:F97),2),IF(A98=$D$8,$E$24-ROUND(SUM($F$25:F97),2),ROUND($E$24/$D$8,2))))</f>
        <v/>
      </c>
      <c r="G98" s="65" t="str">
        <f>IF(A97=$D$8,ROUND(SUM($G$25:G97),2),IF(A98&gt;$D$8,"",IF(T98&lt;&gt;T97,ROUND(SUM(V98*$D$9*E97/T98,W98*$D$9*E97/T97),2),ROUND(E97*$D$9*D98/T97,2))))</f>
        <v/>
      </c>
      <c r="H98" s="65" t="str">
        <f>IF(A97=$D$8,SUM($H$25:H97),IF(A97&gt;$D$8,"",F98+G98))</f>
        <v/>
      </c>
      <c r="I98" s="74" t="str">
        <f t="shared" si="22"/>
        <v/>
      </c>
      <c r="J98" s="74" t="str">
        <f t="shared" ref="J98:J108" si="38">IF(A97=$D$8,$J$24,"")</f>
        <v/>
      </c>
      <c r="K98" s="74"/>
      <c r="L98" s="74" t="str">
        <f t="shared" si="24"/>
        <v/>
      </c>
      <c r="M98" s="65" t="str">
        <f t="shared" si="36"/>
        <v/>
      </c>
      <c r="N98" s="65" t="str">
        <f t="shared" si="37"/>
        <v/>
      </c>
      <c r="O98" s="65"/>
      <c r="P98" s="70" t="str">
        <f>IF(A97=$D$8,XIRR(H$24:H97,C$24:C97),"")</f>
        <v/>
      </c>
      <c r="Q98" s="74" t="str">
        <f t="shared" si="35"/>
        <v/>
      </c>
      <c r="R98" s="65">
        <f t="shared" si="32"/>
        <v>0</v>
      </c>
      <c r="S98" s="67" t="e">
        <f t="shared" ca="1" si="33"/>
        <v>#VALUE!</v>
      </c>
      <c r="T98" s="67" t="e">
        <f t="shared" ca="1" si="34"/>
        <v>#VALUE!</v>
      </c>
      <c r="U98" s="67" t="e">
        <f t="shared" ca="1" si="26"/>
        <v>#VALUE!</v>
      </c>
      <c r="V98" s="72" t="e">
        <f t="shared" ca="1" si="27"/>
        <v>#VALUE!</v>
      </c>
      <c r="W98" s="73" t="e">
        <f t="shared" ca="1" si="28"/>
        <v>#VALUE!</v>
      </c>
      <c r="X98" s="67"/>
    </row>
    <row r="99" spans="1:27" x14ac:dyDescent="0.35">
      <c r="A99" s="68" t="str">
        <f t="shared" si="30"/>
        <v/>
      </c>
      <c r="B99" s="64" t="str">
        <f t="shared" si="21"/>
        <v/>
      </c>
      <c r="C99" s="64" t="str">
        <f t="shared" ca="1" si="31"/>
        <v xml:space="preserve"> </v>
      </c>
      <c r="D99" s="68" t="str">
        <f t="shared" si="19"/>
        <v/>
      </c>
      <c r="E99" s="65" t="str">
        <f t="shared" si="20"/>
        <v/>
      </c>
      <c r="F99" s="65" t="str">
        <f>IF(AND(A98="",A100=""),"",IF(A99="",ROUND(SUM($F$25:F98),2),IF(A99=$D$8,$E$24-ROUND(SUM($F$25:F98),2),ROUND($E$24/$D$8,2))))</f>
        <v/>
      </c>
      <c r="G99" s="65" t="str">
        <f>IF(A98=$D$8,ROUND(SUM($G$25:G98),2),IF(A99&gt;$D$8,"",IF(T99&lt;&gt;T98,ROUND(SUM(V99*$D$9*E98/T99,W99*$D$9*E98/T98),2),ROUND(E98*$D$9*D99/T98,2))))</f>
        <v/>
      </c>
      <c r="H99" s="65" t="str">
        <f>IF(A98=$D$8,SUM($H$25:H98),IF(A98&gt;$D$8,"",F99+G99))</f>
        <v/>
      </c>
      <c r="I99" s="74" t="str">
        <f t="shared" si="22"/>
        <v/>
      </c>
      <c r="J99" s="74" t="str">
        <f t="shared" si="38"/>
        <v/>
      </c>
      <c r="K99" s="74"/>
      <c r="L99" s="74" t="str">
        <f t="shared" si="24"/>
        <v/>
      </c>
      <c r="M99" s="65" t="str">
        <f t="shared" si="36"/>
        <v/>
      </c>
      <c r="N99" s="65" t="str">
        <f t="shared" si="37"/>
        <v/>
      </c>
      <c r="O99" s="65"/>
      <c r="P99" s="70" t="str">
        <f>IF(A98=$D$8,XIRR(H$24:H98,C$24:C98),"")</f>
        <v/>
      </c>
      <c r="Q99" s="74" t="str">
        <f t="shared" si="35"/>
        <v/>
      </c>
      <c r="R99" s="65">
        <f t="shared" si="32"/>
        <v>0</v>
      </c>
      <c r="S99" s="67" t="e">
        <f t="shared" ca="1" si="33"/>
        <v>#VALUE!</v>
      </c>
      <c r="T99" s="67" t="e">
        <f t="shared" ca="1" si="34"/>
        <v>#VALUE!</v>
      </c>
      <c r="U99" s="67" t="e">
        <f t="shared" ca="1" si="26"/>
        <v>#VALUE!</v>
      </c>
      <c r="V99" s="72" t="e">
        <f t="shared" ca="1" si="27"/>
        <v>#VALUE!</v>
      </c>
      <c r="W99" s="73" t="e">
        <f t="shared" ca="1" si="28"/>
        <v>#VALUE!</v>
      </c>
      <c r="X99" s="67"/>
    </row>
    <row r="100" spans="1:27" x14ac:dyDescent="0.35">
      <c r="A100" s="68" t="str">
        <f t="shared" si="30"/>
        <v/>
      </c>
      <c r="B100" s="64" t="str">
        <f t="shared" si="21"/>
        <v/>
      </c>
      <c r="C100" s="64" t="str">
        <f t="shared" ca="1" si="31"/>
        <v xml:space="preserve"> </v>
      </c>
      <c r="D100" s="68" t="str">
        <f t="shared" si="19"/>
        <v/>
      </c>
      <c r="E100" s="65" t="str">
        <f t="shared" si="20"/>
        <v/>
      </c>
      <c r="F100" s="65" t="str">
        <f>IF(AND(A99="",A101=""),"",IF(A100="",ROUND(SUM($F$25:F99),2),IF(A100=$D$8,$E$24-ROUND(SUM($F$25:F99),2),ROUND($E$24/$D$8,2))))</f>
        <v/>
      </c>
      <c r="G100" s="65" t="str">
        <f>IF(A99=$D$8,ROUND(SUM($G$25:G99),2),IF(A100&gt;$D$8,"",IF(T100&lt;&gt;T99,ROUND(SUM(V100*$D$9*E99/T100,W100*$D$9*E99/T99),2),ROUND(E99*$D$9*D100/T99,2))))</f>
        <v/>
      </c>
      <c r="H100" s="65" t="str">
        <f>IF(A99=$D$8,SUM($H$25:H99),IF(A99&gt;$D$8,"",F100+G100))</f>
        <v/>
      </c>
      <c r="I100" s="74" t="str">
        <f t="shared" si="22"/>
        <v/>
      </c>
      <c r="J100" s="74" t="str">
        <f t="shared" si="38"/>
        <v/>
      </c>
      <c r="K100" s="74"/>
      <c r="L100" s="74" t="str">
        <f t="shared" si="24"/>
        <v/>
      </c>
      <c r="M100" s="65" t="str">
        <f t="shared" si="36"/>
        <v/>
      </c>
      <c r="N100" s="65" t="str">
        <f t="shared" si="37"/>
        <v/>
      </c>
      <c r="O100" s="65"/>
      <c r="P100" s="70" t="str">
        <f>IF(A99=$D$8,XIRR(H$24:H99,C$24:C99),"")</f>
        <v/>
      </c>
      <c r="Q100" s="74" t="str">
        <f t="shared" si="35"/>
        <v/>
      </c>
      <c r="R100" s="65">
        <f t="shared" si="32"/>
        <v>0</v>
      </c>
      <c r="S100" s="67" t="e">
        <f t="shared" ca="1" si="33"/>
        <v>#VALUE!</v>
      </c>
      <c r="T100" s="67" t="e">
        <f t="shared" ca="1" si="34"/>
        <v>#VALUE!</v>
      </c>
      <c r="U100" s="67" t="e">
        <f t="shared" ca="1" si="26"/>
        <v>#VALUE!</v>
      </c>
      <c r="V100" s="72" t="e">
        <f t="shared" ca="1" si="27"/>
        <v>#VALUE!</v>
      </c>
      <c r="W100" s="73" t="e">
        <f t="shared" ca="1" si="28"/>
        <v>#VALUE!</v>
      </c>
      <c r="X100" s="67"/>
    </row>
    <row r="101" spans="1:27" x14ac:dyDescent="0.35">
      <c r="A101" s="68" t="str">
        <f t="shared" si="30"/>
        <v/>
      </c>
      <c r="B101" s="64" t="str">
        <f t="shared" si="21"/>
        <v/>
      </c>
      <c r="C101" s="64" t="str">
        <f t="shared" ca="1" si="31"/>
        <v xml:space="preserve"> </v>
      </c>
      <c r="D101" s="68" t="str">
        <f t="shared" ref="D101:D164" si="39">IF(A101&gt;$D$8,"",C101-C100)</f>
        <v/>
      </c>
      <c r="E101" s="65" t="str">
        <f t="shared" ref="E101:E164" si="40">IF(A101&gt;$D$8,"",E100-F101)</f>
        <v/>
      </c>
      <c r="F101" s="65" t="str">
        <f>IF(AND(A100="",A102=""),"",IF(A101="",ROUND(SUM($F$25:F100),2),IF(A101=$D$8,$E$24-ROUND(SUM($F$25:F100),2),ROUND($E$24/$D$8,2))))</f>
        <v/>
      </c>
      <c r="G101" s="65" t="str">
        <f>IF(A100=$D$8,ROUND(SUM($G$25:G100),2),IF(A101&gt;$D$8,"",IF(T101&lt;&gt;T100,ROUND(SUM(V101*$D$9*E100/T101,W101*$D$9*E100/T100),2),ROUND(E100*$D$9*D101/T100,2))))</f>
        <v/>
      </c>
      <c r="H101" s="65" t="str">
        <f>IF(A100=$D$8,SUM($H$25:H100),IF(A100&gt;$D$8,"",F101+G101))</f>
        <v/>
      </c>
      <c r="I101" s="74" t="str">
        <f t="shared" si="22"/>
        <v/>
      </c>
      <c r="J101" s="74" t="str">
        <f t="shared" si="38"/>
        <v/>
      </c>
      <c r="K101" s="74"/>
      <c r="L101" s="74" t="str">
        <f t="shared" si="24"/>
        <v/>
      </c>
      <c r="M101" s="65" t="str">
        <f t="shared" si="36"/>
        <v/>
      </c>
      <c r="N101" s="65" t="str">
        <f t="shared" si="37"/>
        <v/>
      </c>
      <c r="O101" s="65"/>
      <c r="P101" s="70" t="str">
        <f>IF(A100=$D$8,XIRR(H$24:H100,C$24:C100),"")</f>
        <v/>
      </c>
      <c r="Q101" s="74" t="str">
        <f t="shared" si="35"/>
        <v/>
      </c>
      <c r="R101" s="65">
        <f t="shared" si="32"/>
        <v>0</v>
      </c>
      <c r="S101" s="67" t="e">
        <f t="shared" ca="1" si="33"/>
        <v>#VALUE!</v>
      </c>
      <c r="T101" s="67" t="e">
        <f t="shared" ca="1" si="34"/>
        <v>#VALUE!</v>
      </c>
      <c r="U101" s="67" t="e">
        <f t="shared" ca="1" si="26"/>
        <v>#VALUE!</v>
      </c>
      <c r="V101" s="72" t="e">
        <f t="shared" ca="1" si="27"/>
        <v>#VALUE!</v>
      </c>
      <c r="W101" s="73" t="e">
        <f t="shared" ca="1" si="28"/>
        <v>#VALUE!</v>
      </c>
      <c r="X101" s="67"/>
    </row>
    <row r="102" spans="1:27" x14ac:dyDescent="0.35">
      <c r="A102" s="68" t="str">
        <f t="shared" si="30"/>
        <v/>
      </c>
      <c r="B102" s="64" t="str">
        <f t="shared" ref="B102:B165" si="41">IF(A102="","",EDATE($B$24,A102))</f>
        <v/>
      </c>
      <c r="C102" s="64" t="str">
        <f t="shared" ca="1" si="31"/>
        <v xml:space="preserve"> </v>
      </c>
      <c r="D102" s="68" t="str">
        <f t="shared" si="39"/>
        <v/>
      </c>
      <c r="E102" s="65" t="str">
        <f t="shared" si="40"/>
        <v/>
      </c>
      <c r="F102" s="65" t="str">
        <f>IF(AND(A101="",A103=""),"",IF(A102="",ROUND(SUM($F$25:F101),2),IF(A102=$D$8,$E$24-ROUND(SUM($F$25:F101),2),ROUND($E$24/$D$8,2))))</f>
        <v/>
      </c>
      <c r="G102" s="65" t="str">
        <f>IF(A101=$D$8,ROUND(SUM($G$25:G101),2),IF(A102&gt;$D$8,"",IF(T102&lt;&gt;T101,ROUND(SUM(V102*$D$9*E101/T102,W102*$D$9*E101/T101),2),ROUND(E101*$D$9*D102/T101,2))))</f>
        <v/>
      </c>
      <c r="H102" s="65" t="str">
        <f>IF(A101=$D$8,SUM($H$25:H101),IF(A101&gt;$D$8,"",F102+G102))</f>
        <v/>
      </c>
      <c r="I102" s="74" t="str">
        <f t="shared" ref="I102:I165" si="42">IF(A101=$D$8,$I$24,"")</f>
        <v/>
      </c>
      <c r="J102" s="74" t="str">
        <f t="shared" si="38"/>
        <v/>
      </c>
      <c r="K102" s="74"/>
      <c r="L102" s="74" t="str">
        <f t="shared" ref="L102:L165" si="43">IF(A101=$D$8,$L$24,"")</f>
        <v/>
      </c>
      <c r="M102" s="65" t="str">
        <f t="shared" si="36"/>
        <v/>
      </c>
      <c r="N102" s="65" t="str">
        <f t="shared" si="37"/>
        <v/>
      </c>
      <c r="O102" s="65"/>
      <c r="P102" s="70" t="str">
        <f>IF(A101=$D$8,XIRR(H$24:H101,C$24:C101),"")</f>
        <v/>
      </c>
      <c r="Q102" s="74" t="str">
        <f t="shared" si="35"/>
        <v/>
      </c>
      <c r="R102" s="65">
        <f t="shared" si="32"/>
        <v>0</v>
      </c>
      <c r="S102" s="67" t="e">
        <f t="shared" ca="1" si="33"/>
        <v>#VALUE!</v>
      </c>
      <c r="T102" s="67" t="e">
        <f t="shared" ca="1" si="34"/>
        <v>#VALUE!</v>
      </c>
      <c r="U102" s="67" t="e">
        <f t="shared" ca="1" si="26"/>
        <v>#VALUE!</v>
      </c>
      <c r="V102" s="72" t="e">
        <f t="shared" ca="1" si="27"/>
        <v>#VALUE!</v>
      </c>
      <c r="W102" s="73" t="e">
        <f t="shared" ca="1" si="28"/>
        <v>#VALUE!</v>
      </c>
      <c r="X102" s="67"/>
    </row>
    <row r="103" spans="1:27" x14ac:dyDescent="0.35">
      <c r="A103" s="68" t="str">
        <f t="shared" si="30"/>
        <v/>
      </c>
      <c r="B103" s="64" t="str">
        <f t="shared" si="41"/>
        <v/>
      </c>
      <c r="C103" s="64" t="str">
        <f t="shared" ca="1" si="31"/>
        <v xml:space="preserve"> </v>
      </c>
      <c r="D103" s="68" t="str">
        <f t="shared" si="39"/>
        <v/>
      </c>
      <c r="E103" s="65" t="str">
        <f t="shared" si="40"/>
        <v/>
      </c>
      <c r="F103" s="65" t="str">
        <f>IF(AND(A102="",A104=""),"",IF(A103="",ROUND(SUM($F$25:F102),2),IF(A103=$D$8,$E$24-ROUND(SUM($F$25:F102),2),ROUND($E$24/$D$8,2))))</f>
        <v/>
      </c>
      <c r="G103" s="65" t="str">
        <f>IF(A102=$D$8,ROUND(SUM($G$25:G102),2),IF(A103&gt;$D$8,"",IF(T103&lt;&gt;T102,ROUND(SUM(V103*$D$9*E102/T103,W103*$D$9*E102/T102),2),ROUND(E102*$D$9*D103/T102,2))))</f>
        <v/>
      </c>
      <c r="H103" s="65" t="str">
        <f>IF(A102=$D$8,SUM($H$25:H102),IF(A102&gt;$D$8,"",F103+G103))</f>
        <v/>
      </c>
      <c r="I103" s="74" t="str">
        <f t="shared" si="42"/>
        <v/>
      </c>
      <c r="J103" s="74" t="str">
        <f t="shared" si="38"/>
        <v/>
      </c>
      <c r="K103" s="74"/>
      <c r="L103" s="74" t="str">
        <f t="shared" si="43"/>
        <v/>
      </c>
      <c r="M103" s="65" t="str">
        <f t="shared" si="36"/>
        <v/>
      </c>
      <c r="N103" s="65" t="str">
        <f t="shared" si="37"/>
        <v/>
      </c>
      <c r="O103" s="65"/>
      <c r="P103" s="70" t="str">
        <f>IF(A102=$D$8,XIRR(H$24:H102,C$24:C102),"")</f>
        <v/>
      </c>
      <c r="Q103" s="74" t="str">
        <f t="shared" si="35"/>
        <v/>
      </c>
      <c r="R103" s="65">
        <f t="shared" si="32"/>
        <v>0</v>
      </c>
      <c r="S103" s="67" t="e">
        <f t="shared" ca="1" si="33"/>
        <v>#VALUE!</v>
      </c>
      <c r="T103" s="67" t="e">
        <f t="shared" ca="1" si="34"/>
        <v>#VALUE!</v>
      </c>
      <c r="U103" s="67" t="e">
        <f t="shared" ca="1" si="26"/>
        <v>#VALUE!</v>
      </c>
      <c r="V103" s="72" t="e">
        <f t="shared" ca="1" si="27"/>
        <v>#VALUE!</v>
      </c>
      <c r="W103" s="73" t="e">
        <f t="shared" ca="1" si="28"/>
        <v>#VALUE!</v>
      </c>
      <c r="X103" s="67"/>
    </row>
    <row r="104" spans="1:27" x14ac:dyDescent="0.35">
      <c r="A104" s="68" t="str">
        <f t="shared" si="30"/>
        <v/>
      </c>
      <c r="B104" s="64" t="str">
        <f t="shared" si="41"/>
        <v/>
      </c>
      <c r="C104" s="64" t="str">
        <f t="shared" ca="1" si="31"/>
        <v xml:space="preserve"> </v>
      </c>
      <c r="D104" s="68" t="str">
        <f t="shared" si="39"/>
        <v/>
      </c>
      <c r="E104" s="65" t="str">
        <f t="shared" si="40"/>
        <v/>
      </c>
      <c r="F104" s="65" t="str">
        <f>IF(AND(A103="",A105=""),"",IF(A104="",ROUND(SUM($F$25:F103),2),IF(A104=$D$8,$E$24-ROUND(SUM($F$25:F103),2),ROUND($E$24/$D$8,2))))</f>
        <v/>
      </c>
      <c r="G104" s="65" t="str">
        <f>IF(A103=$D$8,ROUND(SUM($G$25:G103),2),IF(A104&gt;$D$8,"",IF(T104&lt;&gt;T103,ROUND(SUM(V104*$D$9*E103/T104,W104*$D$9*E103/T103),2),ROUND(E103*$D$9*D104/T103,2))))</f>
        <v/>
      </c>
      <c r="H104" s="65" t="str">
        <f>IF(A103=$D$8,SUM($H$25:H103),IF(A103&gt;$D$8,"",F104+G104))</f>
        <v/>
      </c>
      <c r="I104" s="74" t="str">
        <f t="shared" si="42"/>
        <v/>
      </c>
      <c r="J104" s="74" t="str">
        <f t="shared" si="38"/>
        <v/>
      </c>
      <c r="K104" s="74"/>
      <c r="L104" s="74" t="str">
        <f t="shared" si="43"/>
        <v/>
      </c>
      <c r="M104" s="65" t="str">
        <f t="shared" si="36"/>
        <v/>
      </c>
      <c r="N104" s="65" t="str">
        <f t="shared" si="37"/>
        <v/>
      </c>
      <c r="O104" s="65"/>
      <c r="P104" s="70" t="str">
        <f>IF(A103=$D$8,XIRR(H$24:H103,C$24:C103),"")</f>
        <v/>
      </c>
      <c r="Q104" s="74" t="str">
        <f t="shared" si="35"/>
        <v/>
      </c>
      <c r="R104" s="65">
        <f t="shared" si="32"/>
        <v>0</v>
      </c>
      <c r="S104" s="67" t="e">
        <f t="shared" ca="1" si="33"/>
        <v>#VALUE!</v>
      </c>
      <c r="T104" s="67" t="e">
        <f t="shared" ca="1" si="34"/>
        <v>#VALUE!</v>
      </c>
      <c r="U104" s="67" t="e">
        <f t="shared" ca="1" si="26"/>
        <v>#VALUE!</v>
      </c>
      <c r="V104" s="72" t="e">
        <f t="shared" ca="1" si="27"/>
        <v>#VALUE!</v>
      </c>
      <c r="W104" s="73" t="e">
        <f t="shared" ca="1" si="28"/>
        <v>#VALUE!</v>
      </c>
      <c r="X104" s="67"/>
    </row>
    <row r="105" spans="1:27" x14ac:dyDescent="0.35">
      <c r="A105" s="68" t="str">
        <f t="shared" si="30"/>
        <v/>
      </c>
      <c r="B105" s="64" t="str">
        <f t="shared" si="41"/>
        <v/>
      </c>
      <c r="C105" s="64" t="str">
        <f t="shared" ca="1" si="31"/>
        <v xml:space="preserve"> </v>
      </c>
      <c r="D105" s="68" t="str">
        <f t="shared" si="39"/>
        <v/>
      </c>
      <c r="E105" s="65" t="str">
        <f t="shared" si="40"/>
        <v/>
      </c>
      <c r="F105" s="65" t="str">
        <f>IF(AND(A104="",A106=""),"",IF(A105="",ROUND(SUM($F$25:F104),2),IF(A105=$D$8,$E$24-ROUND(SUM($F$25:F104),2),ROUND($E$24/$D$8,2))))</f>
        <v/>
      </c>
      <c r="G105" s="65" t="str">
        <f>IF(A104=$D$8,ROUND(SUM($G$25:G104),2),IF(A105&gt;$D$8,"",IF(T105&lt;&gt;T104,ROUND(SUM(V105*$D$9*E104/T105,W105*$D$9*E104/T104),2),ROUND(E104*$D$9*D105/T104,2))))</f>
        <v/>
      </c>
      <c r="H105" s="65" t="str">
        <f>IF(A104=$D$8,SUM($H$25:H104),IF(A104&gt;$D$8,"",F105+G105))</f>
        <v/>
      </c>
      <c r="I105" s="74" t="str">
        <f t="shared" si="42"/>
        <v/>
      </c>
      <c r="J105" s="74" t="str">
        <f t="shared" si="38"/>
        <v/>
      </c>
      <c r="K105" s="74"/>
      <c r="L105" s="74" t="str">
        <f t="shared" si="43"/>
        <v/>
      </c>
      <c r="M105" s="65" t="str">
        <f t="shared" si="36"/>
        <v/>
      </c>
      <c r="N105" s="65" t="str">
        <f t="shared" si="37"/>
        <v/>
      </c>
      <c r="O105" s="65"/>
      <c r="P105" s="70" t="str">
        <f>IF(A104=$D$8,XIRR(H$24:H104,C$24:C104),"")</f>
        <v/>
      </c>
      <c r="Q105" s="74" t="str">
        <f t="shared" si="35"/>
        <v/>
      </c>
      <c r="R105" s="65">
        <f t="shared" si="32"/>
        <v>0</v>
      </c>
      <c r="S105" s="67" t="e">
        <f t="shared" ca="1" si="33"/>
        <v>#VALUE!</v>
      </c>
      <c r="T105" s="67" t="e">
        <f t="shared" ca="1" si="34"/>
        <v>#VALUE!</v>
      </c>
      <c r="U105" s="67" t="e">
        <f t="shared" ca="1" si="26"/>
        <v>#VALUE!</v>
      </c>
      <c r="V105" s="72" t="e">
        <f t="shared" ca="1" si="27"/>
        <v>#VALUE!</v>
      </c>
      <c r="W105" s="73" t="e">
        <f t="shared" ca="1" si="28"/>
        <v>#VALUE!</v>
      </c>
      <c r="X105" s="67"/>
    </row>
    <row r="106" spans="1:27" x14ac:dyDescent="0.35">
      <c r="A106" s="68" t="str">
        <f t="shared" si="30"/>
        <v/>
      </c>
      <c r="B106" s="64" t="str">
        <f t="shared" si="41"/>
        <v/>
      </c>
      <c r="C106" s="64" t="str">
        <f t="shared" ca="1" si="31"/>
        <v xml:space="preserve"> </v>
      </c>
      <c r="D106" s="68" t="str">
        <f t="shared" si="39"/>
        <v/>
      </c>
      <c r="E106" s="65" t="str">
        <f t="shared" si="40"/>
        <v/>
      </c>
      <c r="F106" s="65" t="str">
        <f>IF(AND(A105="",A107=""),"",IF(A106="",ROUND(SUM($F$25:F105),2),IF(A106=$D$8,$E$24-ROUND(SUM($F$25:F105),2),ROUND($E$24/$D$8,2))))</f>
        <v/>
      </c>
      <c r="G106" s="65" t="str">
        <f>IF(A105=$D$8,ROUND(SUM($G$25:G105),2),IF(A106&gt;$D$8,"",IF(T106&lt;&gt;T105,ROUND(SUM(V106*$D$9*E105/T106,W106*$D$9*E105/T105),2),ROUND(E105*$D$9*D106/T105,2))))</f>
        <v/>
      </c>
      <c r="H106" s="65" t="str">
        <f>IF(A105=$D$8,SUM($H$25:H105),IF(A105&gt;$D$8,"",F106+G106))</f>
        <v/>
      </c>
      <c r="I106" s="74" t="str">
        <f t="shared" si="42"/>
        <v/>
      </c>
      <c r="J106" s="74" t="str">
        <f t="shared" si="38"/>
        <v/>
      </c>
      <c r="K106" s="74"/>
      <c r="L106" s="74" t="str">
        <f t="shared" si="43"/>
        <v/>
      </c>
      <c r="M106" s="65" t="str">
        <f t="shared" si="36"/>
        <v/>
      </c>
      <c r="N106" s="65" t="str">
        <f t="shared" si="37"/>
        <v/>
      </c>
      <c r="O106" s="65"/>
      <c r="P106" s="70" t="str">
        <f>IF(A105=$D$8,XIRR(H$24:H105,C$24:C105),"")</f>
        <v/>
      </c>
      <c r="Q106" s="74" t="str">
        <f t="shared" si="35"/>
        <v/>
      </c>
      <c r="R106" s="65">
        <f t="shared" si="32"/>
        <v>0</v>
      </c>
      <c r="S106" s="67" t="e">
        <f t="shared" ca="1" si="33"/>
        <v>#VALUE!</v>
      </c>
      <c r="T106" s="67" t="e">
        <f t="shared" ca="1" si="34"/>
        <v>#VALUE!</v>
      </c>
      <c r="U106" s="67" t="e">
        <f t="shared" ca="1" si="26"/>
        <v>#VALUE!</v>
      </c>
      <c r="V106" s="72" t="e">
        <f t="shared" ca="1" si="27"/>
        <v>#VALUE!</v>
      </c>
      <c r="W106" s="73" t="e">
        <f t="shared" ca="1" si="28"/>
        <v>#VALUE!</v>
      </c>
      <c r="X106" s="67"/>
    </row>
    <row r="107" spans="1:27" x14ac:dyDescent="0.35">
      <c r="A107" s="68" t="str">
        <f t="shared" si="30"/>
        <v/>
      </c>
      <c r="B107" s="64" t="str">
        <f t="shared" si="41"/>
        <v/>
      </c>
      <c r="C107" s="64" t="str">
        <f t="shared" ca="1" si="31"/>
        <v xml:space="preserve"> </v>
      </c>
      <c r="D107" s="68" t="str">
        <f t="shared" si="39"/>
        <v/>
      </c>
      <c r="E107" s="65" t="str">
        <f t="shared" si="40"/>
        <v/>
      </c>
      <c r="F107" s="65" t="str">
        <f>IF(AND(A106="",A108=""),"",IF(A107="",ROUND(SUM($F$25:F106),2),IF(A107=$D$8,$E$24-ROUND(SUM($F$25:F106),2),ROUND($E$24/$D$8,2))))</f>
        <v/>
      </c>
      <c r="G107" s="65" t="str">
        <f>IF(A106=$D$8,ROUND(SUM($G$25:G106),2),IF(A107&gt;$D$8,"",IF(T107&lt;&gt;T106,ROUND(SUM(V107*$D$9*E106/T107,W107*$D$9*E106/T106),2),ROUND(E106*$D$9*D107/T106,2))))</f>
        <v/>
      </c>
      <c r="H107" s="65" t="str">
        <f>IF(A106=$D$8,SUM($H$25:H106),IF(A106&gt;$D$8,"",F107+G107))</f>
        <v/>
      </c>
      <c r="I107" s="74" t="str">
        <f t="shared" si="42"/>
        <v/>
      </c>
      <c r="J107" s="74" t="str">
        <f t="shared" si="38"/>
        <v/>
      </c>
      <c r="K107" s="74"/>
      <c r="L107" s="74" t="str">
        <f t="shared" si="43"/>
        <v/>
      </c>
      <c r="M107" s="65" t="str">
        <f t="shared" si="36"/>
        <v/>
      </c>
      <c r="N107" s="65" t="str">
        <f t="shared" si="37"/>
        <v/>
      </c>
      <c r="O107" s="65"/>
      <c r="P107" s="70" t="str">
        <f>IF(A106=$D$8,XIRR(H$24:H106,C$24:C106),"")</f>
        <v/>
      </c>
      <c r="Q107" s="74" t="str">
        <f t="shared" si="35"/>
        <v/>
      </c>
      <c r="R107" s="65">
        <f t="shared" si="32"/>
        <v>0</v>
      </c>
      <c r="S107" s="67" t="e">
        <f t="shared" ca="1" si="33"/>
        <v>#VALUE!</v>
      </c>
      <c r="T107" s="67" t="e">
        <f t="shared" ca="1" si="34"/>
        <v>#VALUE!</v>
      </c>
      <c r="U107" s="67" t="e">
        <f t="shared" ca="1" si="26"/>
        <v>#VALUE!</v>
      </c>
      <c r="V107" s="72" t="e">
        <f t="shared" ca="1" si="27"/>
        <v>#VALUE!</v>
      </c>
      <c r="W107" s="73" t="e">
        <f t="shared" ca="1" si="28"/>
        <v>#VALUE!</v>
      </c>
      <c r="X107" s="67"/>
      <c r="AA107" s="76"/>
    </row>
    <row r="108" spans="1:27" x14ac:dyDescent="0.35">
      <c r="A108" s="68" t="str">
        <f t="shared" si="30"/>
        <v/>
      </c>
      <c r="B108" s="64" t="str">
        <f t="shared" si="41"/>
        <v/>
      </c>
      <c r="C108" s="64" t="str">
        <f t="shared" ca="1" si="31"/>
        <v xml:space="preserve"> </v>
      </c>
      <c r="D108" s="68" t="str">
        <f t="shared" si="39"/>
        <v/>
      </c>
      <c r="E108" s="65" t="str">
        <f t="shared" si="40"/>
        <v/>
      </c>
      <c r="F108" s="65" t="str">
        <f>IF(AND(A107="",A109=""),"",IF(A108="",ROUND(SUM($F$25:F107),2),IF(A108=$D$8,$E$24-ROUND(SUM($F$25:F107),2),ROUND($E$24/$D$8,2))))</f>
        <v/>
      </c>
      <c r="G108" s="65" t="str">
        <f>IF(A107=$D$8,ROUND(SUM($G$25:G107),2),IF(A108&gt;$D$8,"",IF(T108&lt;&gt;T107,ROUND(SUM(V108*$D$9*E107/T108,W108*$D$9*E107/T107),2),ROUND(E107*$D$9*D108/T107,2))))</f>
        <v/>
      </c>
      <c r="H108" s="65" t="str">
        <f>IF(A107=$D$8,SUM($H$25:H107),IF(A107&gt;$D$8,"",F108+G108))</f>
        <v/>
      </c>
      <c r="I108" s="74" t="str">
        <f t="shared" si="42"/>
        <v/>
      </c>
      <c r="J108" s="74" t="str">
        <f t="shared" si="38"/>
        <v/>
      </c>
      <c r="K108" s="74"/>
      <c r="L108" s="74" t="str">
        <f t="shared" si="43"/>
        <v/>
      </c>
      <c r="M108" s="65" t="str">
        <f t="shared" si="36"/>
        <v/>
      </c>
      <c r="N108" s="65" t="str">
        <f t="shared" si="37"/>
        <v/>
      </c>
      <c r="O108" s="65"/>
      <c r="P108" s="70" t="str">
        <f>IF(A107=$D$8,XIRR(H$24:H107,C$24:C107),"")</f>
        <v/>
      </c>
      <c r="Q108" s="74" t="str">
        <f t="shared" si="35"/>
        <v/>
      </c>
      <c r="R108" s="65">
        <f t="shared" si="32"/>
        <v>0</v>
      </c>
      <c r="S108" s="67" t="e">
        <f t="shared" ca="1" si="33"/>
        <v>#VALUE!</v>
      </c>
      <c r="T108" s="67" t="e">
        <f t="shared" ca="1" si="34"/>
        <v>#VALUE!</v>
      </c>
      <c r="U108" s="67" t="e">
        <f t="shared" ca="1" si="26"/>
        <v>#VALUE!</v>
      </c>
      <c r="V108" s="72" t="e">
        <f t="shared" ca="1" si="27"/>
        <v>#VALUE!</v>
      </c>
      <c r="W108" s="73" t="e">
        <f t="shared" ca="1" si="28"/>
        <v>#VALUE!</v>
      </c>
      <c r="X108" s="67"/>
    </row>
    <row r="109" spans="1:27" x14ac:dyDescent="0.35">
      <c r="A109" s="68" t="str">
        <f t="shared" si="30"/>
        <v/>
      </c>
      <c r="B109" s="64" t="str">
        <f t="shared" si="41"/>
        <v/>
      </c>
      <c r="C109" s="64" t="str">
        <f t="shared" ca="1" si="31"/>
        <v xml:space="preserve"> </v>
      </c>
      <c r="D109" s="68" t="str">
        <f t="shared" si="39"/>
        <v/>
      </c>
      <c r="E109" s="65" t="str">
        <f t="shared" si="40"/>
        <v/>
      </c>
      <c r="F109" s="65" t="str">
        <f>IF(AND(A108="",A110=""),"",IF(A109="",ROUND(SUM($F$25:F108),2),IF(A109=$D$8,$E$24-ROUND(SUM($F$25:F108),2),ROUND($E$24/$D$8,2))))</f>
        <v/>
      </c>
      <c r="G109" s="65" t="str">
        <f>IF(A108=$D$8,ROUND(SUM($G$25:G108),2),IF(A109&gt;$D$8,"",IF(T109&lt;&gt;T108,ROUND(SUM(V109*$D$9*E108/T109,W109*$D$9*E108/T108),2),ROUND(E108*$D$9*D109/T108,2))))</f>
        <v/>
      </c>
      <c r="H109" s="65" t="str">
        <f>IF(A108=$D$8,SUM($H$25:H108),IF(A108&gt;$D$8,"",F109+G109))</f>
        <v/>
      </c>
      <c r="I109" s="74" t="str">
        <f t="shared" si="42"/>
        <v/>
      </c>
      <c r="J109" s="74" t="str">
        <f>IF($D$8&gt;A108,$N$9,IF($D$8=A108,SUM($J$24:J108)," "))</f>
        <v xml:space="preserve"> </v>
      </c>
      <c r="K109" s="74" t="str">
        <f>IF($D$8&gt;84,($O$8+$N$10*E108),IF($A$108=$D$8,$K$37+$K$24+$K$49+$K$61+$K$73+$K$85+$K$97,""))</f>
        <v/>
      </c>
      <c r="L109" s="74" t="str">
        <f t="shared" si="43"/>
        <v/>
      </c>
      <c r="M109" s="65" t="str">
        <f t="shared" si="36"/>
        <v/>
      </c>
      <c r="N109" s="65" t="str">
        <f t="shared" si="37"/>
        <v/>
      </c>
      <c r="O109" s="65"/>
      <c r="P109" s="70" t="str">
        <f>IF(A108=$D$8,XIRR(H$24:H108,C$24:C108),"")</f>
        <v/>
      </c>
      <c r="Q109" s="74" t="str">
        <f t="shared" si="35"/>
        <v/>
      </c>
      <c r="R109" s="65">
        <f t="shared" si="32"/>
        <v>0</v>
      </c>
      <c r="S109" s="67" t="e">
        <f t="shared" ca="1" si="33"/>
        <v>#VALUE!</v>
      </c>
      <c r="T109" s="67" t="e">
        <f t="shared" ca="1" si="34"/>
        <v>#VALUE!</v>
      </c>
      <c r="U109" s="67" t="e">
        <f t="shared" ref="U109:U172" ca="1" si="44">IF(C109="","",DAY(C109))</f>
        <v>#VALUE!</v>
      </c>
      <c r="V109" s="72" t="e">
        <f t="shared" ref="V109:V172" ca="1" si="45">U109-1</f>
        <v>#VALUE!</v>
      </c>
      <c r="W109" s="73" t="e">
        <f t="shared" ca="1" si="28"/>
        <v>#VALUE!</v>
      </c>
      <c r="X109" s="67"/>
    </row>
    <row r="110" spans="1:27" x14ac:dyDescent="0.35">
      <c r="A110" s="68" t="str">
        <f t="shared" si="30"/>
        <v/>
      </c>
      <c r="B110" s="64" t="str">
        <f t="shared" si="41"/>
        <v/>
      </c>
      <c r="C110" s="64" t="str">
        <f t="shared" ca="1" si="31"/>
        <v xml:space="preserve"> </v>
      </c>
      <c r="D110" s="68" t="str">
        <f t="shared" si="39"/>
        <v/>
      </c>
      <c r="E110" s="65" t="str">
        <f t="shared" si="40"/>
        <v/>
      </c>
      <c r="F110" s="65" t="str">
        <f>IF(AND(A109="",A111=""),"",IF(A110="",ROUND(SUM($F$25:F109),2),IF(A110=$D$8,$E$24-ROUND(SUM($F$25:F109),2),ROUND($E$24/$D$8,2))))</f>
        <v/>
      </c>
      <c r="G110" s="65" t="str">
        <f>IF(A109=$D$8,ROUND(SUM($G$25:G109),2),IF(A110&gt;$D$8,"",IF(T110&lt;&gt;T109,ROUND(SUM(V110*$D$9*E109/T110,W110*$D$9*E109/T109),2),ROUND(E109*$D$9*D110/T109,2))))</f>
        <v/>
      </c>
      <c r="H110" s="65" t="str">
        <f>IF(A109=$D$8,SUM($H$25:H109),IF(A109&gt;$D$8,"",F110+G110))</f>
        <v/>
      </c>
      <c r="I110" s="74" t="str">
        <f t="shared" si="42"/>
        <v/>
      </c>
      <c r="J110" s="74" t="str">
        <f t="shared" ref="J110:J120" si="46">IF(A109=$D$8,$J$24,"")</f>
        <v/>
      </c>
      <c r="K110" s="74"/>
      <c r="L110" s="74" t="str">
        <f t="shared" si="43"/>
        <v/>
      </c>
      <c r="M110" s="65" t="str">
        <f t="shared" si="36"/>
        <v/>
      </c>
      <c r="N110" s="65" t="str">
        <f t="shared" si="37"/>
        <v/>
      </c>
      <c r="O110" s="67"/>
      <c r="P110" s="70" t="str">
        <f>IF(A109=$D$8,XIRR(H$24:H109,C$24:C109),"")</f>
        <v/>
      </c>
      <c r="Q110" s="74" t="str">
        <f t="shared" si="35"/>
        <v/>
      </c>
      <c r="R110" s="65">
        <f t="shared" si="32"/>
        <v>0</v>
      </c>
      <c r="S110" s="67" t="e">
        <f t="shared" ca="1" si="33"/>
        <v>#VALUE!</v>
      </c>
      <c r="T110" s="67" t="e">
        <f t="shared" ca="1" si="34"/>
        <v>#VALUE!</v>
      </c>
      <c r="U110" s="67" t="e">
        <f t="shared" ca="1" si="44"/>
        <v>#VALUE!</v>
      </c>
      <c r="V110" s="72" t="e">
        <f t="shared" ca="1" si="45"/>
        <v>#VALUE!</v>
      </c>
      <c r="W110" s="73" t="e">
        <f t="shared" ca="1" si="28"/>
        <v>#VALUE!</v>
      </c>
      <c r="X110" s="67"/>
    </row>
    <row r="111" spans="1:27" x14ac:dyDescent="0.35">
      <c r="A111" s="68" t="str">
        <f t="shared" si="30"/>
        <v/>
      </c>
      <c r="B111" s="64" t="str">
        <f t="shared" si="41"/>
        <v/>
      </c>
      <c r="C111" s="64" t="str">
        <f t="shared" ca="1" si="31"/>
        <v xml:space="preserve"> </v>
      </c>
      <c r="D111" s="68" t="str">
        <f t="shared" si="39"/>
        <v/>
      </c>
      <c r="E111" s="65" t="str">
        <f t="shared" si="40"/>
        <v/>
      </c>
      <c r="F111" s="65" t="str">
        <f>IF(AND(A110="",A112=""),"",IF(A111="",ROUND(SUM($F$25:F110),2),IF(A111=$D$8,$E$24-ROUND(SUM($F$25:F110),2),ROUND($E$24/$D$8,2))))</f>
        <v/>
      </c>
      <c r="G111" s="65" t="str">
        <f>IF(A110=$D$8,ROUND(SUM($G$25:G110),2),IF(A111&gt;$D$8,"",IF(T111&lt;&gt;T110,ROUND(SUM(V111*$D$9*E110/T111,W111*$D$9*E110/T110),2),ROUND(E110*$D$9*D111/T110,2))))</f>
        <v/>
      </c>
      <c r="H111" s="65" t="str">
        <f>IF(A110=$D$8,SUM($H$25:H110),IF(A110&gt;$D$8,"",F111+G111))</f>
        <v/>
      </c>
      <c r="I111" s="74" t="str">
        <f t="shared" si="42"/>
        <v/>
      </c>
      <c r="J111" s="74" t="str">
        <f t="shared" si="46"/>
        <v/>
      </c>
      <c r="K111" s="74"/>
      <c r="L111" s="74" t="str">
        <f t="shared" si="43"/>
        <v/>
      </c>
      <c r="M111" s="65" t="str">
        <f t="shared" si="36"/>
        <v/>
      </c>
      <c r="N111" s="65" t="str">
        <f t="shared" si="37"/>
        <v/>
      </c>
      <c r="O111" s="67"/>
      <c r="P111" s="70" t="str">
        <f>IF(A110=$D$8,XIRR(H$24:H110,C$24:C110),"")</f>
        <v/>
      </c>
      <c r="Q111" s="74" t="str">
        <f t="shared" si="35"/>
        <v/>
      </c>
      <c r="R111" s="65">
        <f t="shared" si="32"/>
        <v>0</v>
      </c>
      <c r="S111" s="67" t="e">
        <f t="shared" ca="1" si="33"/>
        <v>#VALUE!</v>
      </c>
      <c r="T111" s="67" t="e">
        <f t="shared" ca="1" si="34"/>
        <v>#VALUE!</v>
      </c>
      <c r="U111" s="67" t="e">
        <f t="shared" ca="1" si="44"/>
        <v>#VALUE!</v>
      </c>
      <c r="V111" s="72" t="e">
        <f t="shared" ca="1" si="45"/>
        <v>#VALUE!</v>
      </c>
      <c r="W111" s="73" t="e">
        <f t="shared" ca="1" si="28"/>
        <v>#VALUE!</v>
      </c>
      <c r="X111" s="67"/>
    </row>
    <row r="112" spans="1:27" x14ac:dyDescent="0.35">
      <c r="A112" s="68" t="str">
        <f t="shared" si="30"/>
        <v/>
      </c>
      <c r="B112" s="64" t="str">
        <f t="shared" si="41"/>
        <v/>
      </c>
      <c r="C112" s="64" t="str">
        <f t="shared" ca="1" si="31"/>
        <v xml:space="preserve"> </v>
      </c>
      <c r="D112" s="68" t="str">
        <f t="shared" si="39"/>
        <v/>
      </c>
      <c r="E112" s="65" t="str">
        <f t="shared" si="40"/>
        <v/>
      </c>
      <c r="F112" s="65" t="str">
        <f>IF(AND(A111="",A113=""),"",IF(A112="",ROUND(SUM($F$25:F111),2),IF(A112=$D$8,$E$24-ROUND(SUM($F$25:F111),2),ROUND($E$24/$D$8,2))))</f>
        <v/>
      </c>
      <c r="G112" s="65" t="str">
        <f>IF(A111=$D$8,ROUND(SUM($G$25:G111),2),IF(A112&gt;$D$8,"",IF(T112&lt;&gt;T111,ROUND(SUM(V112*$D$9*E111/T112,W112*$D$9*E111/T111),2),ROUND(E111*$D$9*D112/T111,2))))</f>
        <v/>
      </c>
      <c r="H112" s="65" t="str">
        <f>IF(A111=$D$8,SUM($H$25:H111),IF(A111&gt;$D$8,"",F112+G112))</f>
        <v/>
      </c>
      <c r="I112" s="74" t="str">
        <f t="shared" si="42"/>
        <v/>
      </c>
      <c r="J112" s="74" t="str">
        <f t="shared" si="46"/>
        <v/>
      </c>
      <c r="K112" s="74"/>
      <c r="L112" s="74" t="str">
        <f t="shared" si="43"/>
        <v/>
      </c>
      <c r="M112" s="65" t="str">
        <f t="shared" si="36"/>
        <v/>
      </c>
      <c r="N112" s="65" t="str">
        <f t="shared" si="37"/>
        <v/>
      </c>
      <c r="O112" s="67"/>
      <c r="P112" s="70" t="str">
        <f>IF(A111=$D$8,XIRR(H$24:H111,C$24:C111),"")</f>
        <v/>
      </c>
      <c r="Q112" s="74" t="str">
        <f t="shared" si="35"/>
        <v/>
      </c>
      <c r="R112" s="65">
        <f t="shared" si="32"/>
        <v>0</v>
      </c>
      <c r="S112" s="67" t="e">
        <f t="shared" ca="1" si="33"/>
        <v>#VALUE!</v>
      </c>
      <c r="T112" s="67" t="e">
        <f t="shared" ca="1" si="34"/>
        <v>#VALUE!</v>
      </c>
      <c r="U112" s="67" t="e">
        <f t="shared" ca="1" si="44"/>
        <v>#VALUE!</v>
      </c>
      <c r="V112" s="72" t="e">
        <f t="shared" ca="1" si="45"/>
        <v>#VALUE!</v>
      </c>
      <c r="W112" s="73" t="e">
        <f t="shared" ca="1" si="28"/>
        <v>#VALUE!</v>
      </c>
      <c r="X112" s="67"/>
    </row>
    <row r="113" spans="1:24" x14ac:dyDescent="0.35">
      <c r="A113" s="68" t="str">
        <f t="shared" si="30"/>
        <v/>
      </c>
      <c r="B113" s="64" t="str">
        <f t="shared" si="41"/>
        <v/>
      </c>
      <c r="C113" s="64" t="str">
        <f t="shared" ca="1" si="31"/>
        <v xml:space="preserve"> </v>
      </c>
      <c r="D113" s="68" t="str">
        <f t="shared" si="39"/>
        <v/>
      </c>
      <c r="E113" s="65" t="str">
        <f t="shared" si="40"/>
        <v/>
      </c>
      <c r="F113" s="65" t="str">
        <f>IF(AND(A112="",A114=""),"",IF(A113="",ROUND(SUM($F$25:F112),2),IF(A113=$D$8,$E$24-ROUND(SUM($F$25:F112),2),ROUND($E$24/$D$8,2))))</f>
        <v/>
      </c>
      <c r="G113" s="65" t="str">
        <f>IF(A112=$D$8,ROUND(SUM($G$25:G112),2),IF(A113&gt;$D$8,"",IF(T113&lt;&gt;T112,ROUND(SUM(V113*$D$9*E112/T113,W113*$D$9*E112/T112),2),ROUND(E112*$D$9*D113/T112,2))))</f>
        <v/>
      </c>
      <c r="H113" s="65" t="str">
        <f>IF(A112=$D$8,SUM($H$25:H112),IF(A112&gt;$D$8,"",F113+G113))</f>
        <v/>
      </c>
      <c r="I113" s="74" t="str">
        <f t="shared" si="42"/>
        <v/>
      </c>
      <c r="J113" s="74" t="str">
        <f t="shared" si="46"/>
        <v/>
      </c>
      <c r="K113" s="74"/>
      <c r="L113" s="74" t="str">
        <f t="shared" si="43"/>
        <v/>
      </c>
      <c r="M113" s="65" t="str">
        <f t="shared" si="36"/>
        <v/>
      </c>
      <c r="N113" s="65" t="str">
        <f t="shared" si="37"/>
        <v/>
      </c>
      <c r="O113" s="67"/>
      <c r="P113" s="70" t="str">
        <f>IF(A112=$D$8,XIRR(H$24:H112,C$24:C112),"")</f>
        <v/>
      </c>
      <c r="Q113" s="74" t="str">
        <f t="shared" si="35"/>
        <v/>
      </c>
      <c r="R113" s="65">
        <f t="shared" si="32"/>
        <v>0</v>
      </c>
      <c r="S113" s="67" t="e">
        <f t="shared" ca="1" si="33"/>
        <v>#VALUE!</v>
      </c>
      <c r="T113" s="67" t="e">
        <f t="shared" ca="1" si="34"/>
        <v>#VALUE!</v>
      </c>
      <c r="U113" s="67" t="e">
        <f t="shared" ca="1" si="44"/>
        <v>#VALUE!</v>
      </c>
      <c r="V113" s="72" t="e">
        <f t="shared" ca="1" si="45"/>
        <v>#VALUE!</v>
      </c>
      <c r="W113" s="73" t="e">
        <f t="shared" ca="1" si="28"/>
        <v>#VALUE!</v>
      </c>
      <c r="X113" s="67"/>
    </row>
    <row r="114" spans="1:24" x14ac:dyDescent="0.35">
      <c r="A114" s="68" t="str">
        <f t="shared" si="30"/>
        <v/>
      </c>
      <c r="B114" s="64" t="str">
        <f t="shared" si="41"/>
        <v/>
      </c>
      <c r="C114" s="64" t="str">
        <f t="shared" ca="1" si="31"/>
        <v xml:space="preserve"> </v>
      </c>
      <c r="D114" s="68" t="str">
        <f t="shared" si="39"/>
        <v/>
      </c>
      <c r="E114" s="65" t="str">
        <f t="shared" si="40"/>
        <v/>
      </c>
      <c r="F114" s="65" t="str">
        <f>IF(AND(A113="",A115=""),"",IF(A114="",ROUND(SUM($F$25:F113),2),IF(A114=$D$8,$E$24-ROUND(SUM($F$25:F113),2),ROUND($E$24/$D$8,2))))</f>
        <v/>
      </c>
      <c r="G114" s="65" t="str">
        <f>IF(A113=$D$8,ROUND(SUM($G$25:G113),2),IF(A114&gt;$D$8,"",IF(T114&lt;&gt;T113,ROUND(SUM(V114*$D$9*E113/T114,W114*$D$9*E113/T113),2),ROUND(E113*$D$9*D114/T113,2))))</f>
        <v/>
      </c>
      <c r="H114" s="65" t="str">
        <f>IF(A113=$D$8,SUM($H$25:H113),IF(A113&gt;$D$8,"",F114+G114))</f>
        <v/>
      </c>
      <c r="I114" s="74" t="str">
        <f t="shared" si="42"/>
        <v/>
      </c>
      <c r="J114" s="74" t="str">
        <f t="shared" si="46"/>
        <v/>
      </c>
      <c r="K114" s="74"/>
      <c r="L114" s="74" t="str">
        <f t="shared" si="43"/>
        <v/>
      </c>
      <c r="M114" s="65" t="str">
        <f t="shared" si="36"/>
        <v/>
      </c>
      <c r="N114" s="65" t="str">
        <f t="shared" si="37"/>
        <v/>
      </c>
      <c r="O114" s="67"/>
      <c r="P114" s="70" t="str">
        <f>IF(A113=$D$8,XIRR(H$24:H113,C$24:C113),"")</f>
        <v/>
      </c>
      <c r="Q114" s="74" t="str">
        <f t="shared" si="35"/>
        <v/>
      </c>
      <c r="R114" s="65">
        <f t="shared" si="32"/>
        <v>0</v>
      </c>
      <c r="S114" s="67" t="e">
        <f t="shared" ca="1" si="33"/>
        <v>#VALUE!</v>
      </c>
      <c r="T114" s="67" t="e">
        <f t="shared" ca="1" si="34"/>
        <v>#VALUE!</v>
      </c>
      <c r="U114" s="67" t="e">
        <f t="shared" ca="1" si="44"/>
        <v>#VALUE!</v>
      </c>
      <c r="V114" s="72" t="e">
        <f t="shared" ca="1" si="45"/>
        <v>#VALUE!</v>
      </c>
      <c r="W114" s="73" t="e">
        <f t="shared" ca="1" si="28"/>
        <v>#VALUE!</v>
      </c>
      <c r="X114" s="67"/>
    </row>
    <row r="115" spans="1:24" x14ac:dyDescent="0.35">
      <c r="A115" s="68" t="str">
        <f t="shared" si="30"/>
        <v/>
      </c>
      <c r="B115" s="64" t="str">
        <f t="shared" si="41"/>
        <v/>
      </c>
      <c r="C115" s="64" t="str">
        <f t="shared" ca="1" si="31"/>
        <v xml:space="preserve"> </v>
      </c>
      <c r="D115" s="68" t="str">
        <f t="shared" si="39"/>
        <v/>
      </c>
      <c r="E115" s="65" t="str">
        <f t="shared" si="40"/>
        <v/>
      </c>
      <c r="F115" s="65" t="str">
        <f>IF(AND(A114="",A116=""),"",IF(A115="",ROUND(SUM($F$25:F114),2),IF(A115=$D$8,$E$24-ROUND(SUM($F$25:F114),2),ROUND($E$24/$D$8,2))))</f>
        <v/>
      </c>
      <c r="G115" s="65" t="str">
        <f>IF(A114=$D$8,ROUND(SUM($G$25:G114),2),IF(A115&gt;$D$8,"",IF(T115&lt;&gt;T114,ROUND(SUM(V115*$D$9*E114/T115,W115*$D$9*E114/T114),2),ROUND(E114*$D$9*D115/T114,2))))</f>
        <v/>
      </c>
      <c r="H115" s="65" t="str">
        <f>IF(A114=$D$8,SUM($H$25:H114),IF(A114&gt;$D$8,"",F115+G115))</f>
        <v/>
      </c>
      <c r="I115" s="74" t="str">
        <f t="shared" si="42"/>
        <v/>
      </c>
      <c r="J115" s="74" t="str">
        <f t="shared" si="46"/>
        <v/>
      </c>
      <c r="K115" s="74"/>
      <c r="L115" s="74" t="str">
        <f t="shared" si="43"/>
        <v/>
      </c>
      <c r="M115" s="65" t="str">
        <f t="shared" si="36"/>
        <v/>
      </c>
      <c r="N115" s="65" t="str">
        <f t="shared" si="37"/>
        <v/>
      </c>
      <c r="O115" s="67"/>
      <c r="P115" s="70" t="str">
        <f>IF(A114=$D$8,XIRR(H$24:H114,C$24:C114),"")</f>
        <v/>
      </c>
      <c r="Q115" s="74" t="str">
        <f t="shared" si="35"/>
        <v/>
      </c>
      <c r="R115" s="65">
        <f t="shared" si="32"/>
        <v>0</v>
      </c>
      <c r="S115" s="67" t="e">
        <f t="shared" ca="1" si="33"/>
        <v>#VALUE!</v>
      </c>
      <c r="T115" s="67" t="e">
        <f t="shared" ca="1" si="34"/>
        <v>#VALUE!</v>
      </c>
      <c r="U115" s="67" t="e">
        <f t="shared" ca="1" si="44"/>
        <v>#VALUE!</v>
      </c>
      <c r="V115" s="72" t="e">
        <f t="shared" ca="1" si="45"/>
        <v>#VALUE!</v>
      </c>
      <c r="W115" s="73" t="e">
        <f t="shared" ca="1" si="28"/>
        <v>#VALUE!</v>
      </c>
      <c r="X115" s="67"/>
    </row>
    <row r="116" spans="1:24" x14ac:dyDescent="0.35">
      <c r="A116" s="68" t="str">
        <f t="shared" si="30"/>
        <v/>
      </c>
      <c r="B116" s="64" t="str">
        <f t="shared" si="41"/>
        <v/>
      </c>
      <c r="C116" s="64" t="str">
        <f t="shared" ca="1" si="31"/>
        <v xml:space="preserve"> </v>
      </c>
      <c r="D116" s="68" t="str">
        <f t="shared" si="39"/>
        <v/>
      </c>
      <c r="E116" s="65" t="str">
        <f t="shared" si="40"/>
        <v/>
      </c>
      <c r="F116" s="65" t="str">
        <f>IF(AND(A115="",A117=""),"",IF(A116="",ROUND(SUM($F$25:F115),2),IF(A116=$D$8,$E$24-ROUND(SUM($F$25:F115),2),ROUND($E$24/$D$8,2))))</f>
        <v/>
      </c>
      <c r="G116" s="65" t="str">
        <f>IF(A115=$D$8,ROUND(SUM($G$25:G115),2),IF(A116&gt;$D$8,"",IF(T116&lt;&gt;T115,ROUND(SUM(V116*$D$9*E115/T116,W116*$D$9*E115/T115),2),ROUND(E115*$D$9*D116/T115,2))))</f>
        <v/>
      </c>
      <c r="H116" s="65" t="str">
        <f>IF(A115=$D$8,SUM($H$25:H115),IF(A115&gt;$D$8,"",F116+G116))</f>
        <v/>
      </c>
      <c r="I116" s="74" t="str">
        <f t="shared" si="42"/>
        <v/>
      </c>
      <c r="J116" s="74" t="str">
        <f t="shared" si="46"/>
        <v/>
      </c>
      <c r="K116" s="74"/>
      <c r="L116" s="74" t="str">
        <f t="shared" si="43"/>
        <v/>
      </c>
      <c r="M116" s="65" t="str">
        <f t="shared" si="36"/>
        <v/>
      </c>
      <c r="N116" s="65" t="str">
        <f t="shared" si="37"/>
        <v/>
      </c>
      <c r="O116" s="67"/>
      <c r="P116" s="70" t="str">
        <f>IF(A115=$D$8,XIRR(H$24:H115,C$24:C115),"")</f>
        <v/>
      </c>
      <c r="Q116" s="74" t="str">
        <f t="shared" si="35"/>
        <v/>
      </c>
      <c r="R116" s="65">
        <f t="shared" si="32"/>
        <v>0</v>
      </c>
      <c r="S116" s="67" t="e">
        <f t="shared" ca="1" si="33"/>
        <v>#VALUE!</v>
      </c>
      <c r="T116" s="67" t="e">
        <f t="shared" ca="1" si="34"/>
        <v>#VALUE!</v>
      </c>
      <c r="U116" s="67" t="e">
        <f t="shared" ca="1" si="44"/>
        <v>#VALUE!</v>
      </c>
      <c r="V116" s="72" t="e">
        <f t="shared" ca="1" si="45"/>
        <v>#VALUE!</v>
      </c>
      <c r="W116" s="73" t="e">
        <f t="shared" ca="1" si="28"/>
        <v>#VALUE!</v>
      </c>
      <c r="X116" s="67"/>
    </row>
    <row r="117" spans="1:24" x14ac:dyDescent="0.35">
      <c r="A117" s="68" t="str">
        <f t="shared" si="30"/>
        <v/>
      </c>
      <c r="B117" s="64" t="str">
        <f t="shared" si="41"/>
        <v/>
      </c>
      <c r="C117" s="64" t="str">
        <f t="shared" ca="1" si="31"/>
        <v xml:space="preserve"> </v>
      </c>
      <c r="D117" s="68" t="str">
        <f t="shared" si="39"/>
        <v/>
      </c>
      <c r="E117" s="65" t="str">
        <f t="shared" si="40"/>
        <v/>
      </c>
      <c r="F117" s="65" t="str">
        <f>IF(AND(A116="",A118=""),"",IF(A117="",ROUND(SUM($F$25:F116),2),IF(A117=$D$8,$E$24-ROUND(SUM($F$25:F116),2),ROUND($E$24/$D$8,2))))</f>
        <v/>
      </c>
      <c r="G117" s="65" t="str">
        <f>IF(A116=$D$8,ROUND(SUM($G$25:G116),2),IF(A117&gt;$D$8,"",IF(T117&lt;&gt;T116,ROUND(SUM(V117*$D$9*E116/T117,W117*$D$9*E116/T116),2),ROUND(E116*$D$9*D117/T116,2))))</f>
        <v/>
      </c>
      <c r="H117" s="65" t="str">
        <f>IF(A116=$D$8,SUM($H$25:H116),IF(A116&gt;$D$8,"",F117+G117))</f>
        <v/>
      </c>
      <c r="I117" s="74" t="str">
        <f t="shared" si="42"/>
        <v/>
      </c>
      <c r="J117" s="74" t="str">
        <f t="shared" si="46"/>
        <v/>
      </c>
      <c r="K117" s="74"/>
      <c r="L117" s="74" t="str">
        <f t="shared" si="43"/>
        <v/>
      </c>
      <c r="M117" s="65" t="str">
        <f t="shared" si="36"/>
        <v/>
      </c>
      <c r="N117" s="65" t="str">
        <f t="shared" si="37"/>
        <v/>
      </c>
      <c r="O117" s="67"/>
      <c r="P117" s="70" t="str">
        <f>IF(A116=$D$8,XIRR(H$24:H116,C$24:C116),"")</f>
        <v/>
      </c>
      <c r="Q117" s="74" t="str">
        <f t="shared" si="35"/>
        <v/>
      </c>
      <c r="R117" s="65">
        <f t="shared" si="32"/>
        <v>0</v>
      </c>
      <c r="S117" s="67" t="e">
        <f t="shared" ca="1" si="33"/>
        <v>#VALUE!</v>
      </c>
      <c r="T117" s="67" t="e">
        <f t="shared" ca="1" si="34"/>
        <v>#VALUE!</v>
      </c>
      <c r="U117" s="67" t="e">
        <f t="shared" ca="1" si="44"/>
        <v>#VALUE!</v>
      </c>
      <c r="V117" s="72" t="e">
        <f t="shared" ca="1" si="45"/>
        <v>#VALUE!</v>
      </c>
      <c r="W117" s="73" t="e">
        <f t="shared" ca="1" si="28"/>
        <v>#VALUE!</v>
      </c>
      <c r="X117" s="67"/>
    </row>
    <row r="118" spans="1:24" x14ac:dyDescent="0.35">
      <c r="A118" s="68" t="str">
        <f t="shared" si="30"/>
        <v/>
      </c>
      <c r="B118" s="64" t="str">
        <f t="shared" si="41"/>
        <v/>
      </c>
      <c r="C118" s="64" t="str">
        <f t="shared" ca="1" si="31"/>
        <v xml:space="preserve"> </v>
      </c>
      <c r="D118" s="68" t="str">
        <f t="shared" si="39"/>
        <v/>
      </c>
      <c r="E118" s="65" t="str">
        <f t="shared" si="40"/>
        <v/>
      </c>
      <c r="F118" s="65" t="str">
        <f>IF(AND(A117="",A119=""),"",IF(A118="",ROUND(SUM($F$25:F117),2),IF(A118=$D$8,$E$24-ROUND(SUM($F$25:F117),2),ROUND($E$24/$D$8,2))))</f>
        <v/>
      </c>
      <c r="G118" s="65" t="str">
        <f>IF(A117=$D$8,ROUND(SUM($G$25:G117),2),IF(A118&gt;$D$8,"",IF(T118&lt;&gt;T117,ROUND(SUM(V118*$D$9*E117/T118,W118*$D$9*E117/T117),2),ROUND(E117*$D$9*D118/T117,2))))</f>
        <v/>
      </c>
      <c r="H118" s="65" t="str">
        <f>IF(A117=$D$8,SUM($H$25:H117),IF(A117&gt;$D$8,"",F118+G118))</f>
        <v/>
      </c>
      <c r="I118" s="74" t="str">
        <f t="shared" si="42"/>
        <v/>
      </c>
      <c r="J118" s="74" t="str">
        <f t="shared" si="46"/>
        <v/>
      </c>
      <c r="K118" s="74"/>
      <c r="L118" s="74" t="str">
        <f t="shared" si="43"/>
        <v/>
      </c>
      <c r="M118" s="65" t="str">
        <f t="shared" si="36"/>
        <v/>
      </c>
      <c r="N118" s="65" t="str">
        <f t="shared" si="37"/>
        <v/>
      </c>
      <c r="O118" s="67"/>
      <c r="P118" s="70" t="str">
        <f>IF(A117=$D$8,XIRR(H$24:H117,C$24:C117),"")</f>
        <v/>
      </c>
      <c r="Q118" s="74" t="str">
        <f t="shared" si="35"/>
        <v/>
      </c>
      <c r="R118" s="65">
        <f t="shared" si="32"/>
        <v>0</v>
      </c>
      <c r="S118" s="67" t="e">
        <f t="shared" ca="1" si="33"/>
        <v>#VALUE!</v>
      </c>
      <c r="T118" s="67" t="e">
        <f t="shared" ca="1" si="34"/>
        <v>#VALUE!</v>
      </c>
      <c r="U118" s="67" t="e">
        <f t="shared" ca="1" si="44"/>
        <v>#VALUE!</v>
      </c>
      <c r="V118" s="72" t="e">
        <f t="shared" ca="1" si="45"/>
        <v>#VALUE!</v>
      </c>
      <c r="W118" s="73" t="e">
        <f t="shared" ca="1" si="28"/>
        <v>#VALUE!</v>
      </c>
      <c r="X118" s="67"/>
    </row>
    <row r="119" spans="1:24" x14ac:dyDescent="0.35">
      <c r="A119" s="68" t="str">
        <f t="shared" si="30"/>
        <v/>
      </c>
      <c r="B119" s="64" t="str">
        <f t="shared" si="41"/>
        <v/>
      </c>
      <c r="C119" s="64" t="str">
        <f t="shared" ca="1" si="31"/>
        <v xml:space="preserve"> </v>
      </c>
      <c r="D119" s="68" t="str">
        <f t="shared" si="39"/>
        <v/>
      </c>
      <c r="E119" s="65" t="str">
        <f t="shared" si="40"/>
        <v/>
      </c>
      <c r="F119" s="65" t="str">
        <f>IF(AND(A118="",A120=""),"",IF(A119="",ROUND(SUM($F$25:F118),2),IF(A119=$D$8,$E$24-ROUND(SUM($F$25:F118),2),ROUND($E$24/$D$8,2))))</f>
        <v/>
      </c>
      <c r="G119" s="65" t="str">
        <f>IF(A118=$D$8,ROUND(SUM($G$25:G118),2),IF(A119&gt;$D$8,"",IF(T119&lt;&gt;T118,ROUND(SUM(V119*$D$9*E118/T119,W119*$D$9*E118/T118),2),ROUND(E118*$D$9*D119/T118,2))))</f>
        <v/>
      </c>
      <c r="H119" s="65" t="str">
        <f>IF(A118=$D$8,SUM($H$25:H118),IF(A118&gt;$D$8,"",F119+G119))</f>
        <v/>
      </c>
      <c r="I119" s="74" t="str">
        <f t="shared" si="42"/>
        <v/>
      </c>
      <c r="J119" s="74" t="str">
        <f t="shared" si="46"/>
        <v/>
      </c>
      <c r="K119" s="74"/>
      <c r="L119" s="74" t="str">
        <f t="shared" si="43"/>
        <v/>
      </c>
      <c r="M119" s="65" t="str">
        <f t="shared" si="36"/>
        <v/>
      </c>
      <c r="N119" s="65" t="str">
        <f t="shared" si="37"/>
        <v/>
      </c>
      <c r="O119" s="67"/>
      <c r="P119" s="70" t="str">
        <f>IF(A118=$D$8,XIRR(H$24:H118,C$24:C118),"")</f>
        <v/>
      </c>
      <c r="Q119" s="74" t="str">
        <f t="shared" si="35"/>
        <v/>
      </c>
      <c r="R119" s="65">
        <f t="shared" si="32"/>
        <v>0</v>
      </c>
      <c r="S119" s="67" t="e">
        <f t="shared" ca="1" si="33"/>
        <v>#VALUE!</v>
      </c>
      <c r="T119" s="67" t="e">
        <f t="shared" ca="1" si="34"/>
        <v>#VALUE!</v>
      </c>
      <c r="U119" s="67" t="e">
        <f t="shared" ca="1" si="44"/>
        <v>#VALUE!</v>
      </c>
      <c r="V119" s="72" t="e">
        <f t="shared" ca="1" si="45"/>
        <v>#VALUE!</v>
      </c>
      <c r="W119" s="73" t="e">
        <f t="shared" ca="1" si="28"/>
        <v>#VALUE!</v>
      </c>
      <c r="X119" s="67"/>
    </row>
    <row r="120" spans="1:24" x14ac:dyDescent="0.35">
      <c r="A120" s="68" t="str">
        <f t="shared" si="30"/>
        <v/>
      </c>
      <c r="B120" s="64" t="str">
        <f t="shared" si="41"/>
        <v/>
      </c>
      <c r="C120" s="64" t="str">
        <f t="shared" ca="1" si="31"/>
        <v xml:space="preserve"> </v>
      </c>
      <c r="D120" s="68" t="str">
        <f t="shared" si="39"/>
        <v/>
      </c>
      <c r="E120" s="65" t="str">
        <f t="shared" si="40"/>
        <v/>
      </c>
      <c r="F120" s="65" t="str">
        <f>IF(AND(A119="",A121=""),"",IF(A120="",ROUND(SUM($F$25:F119),2),IF(A120=$D$8,$E$24-ROUND(SUM($F$25:F119),2),ROUND($E$24/$D$8,2))))</f>
        <v/>
      </c>
      <c r="G120" s="65" t="str">
        <f>IF(A119=$D$8,ROUND(SUM($G$25:G119),2),IF(A120&gt;$D$8,"",IF(T120&lt;&gt;T119,ROUND(SUM(V120*$D$9*E119/T120,W120*$D$9*E119/T119),2),ROUND(E119*$D$9*D120/T119,2))))</f>
        <v/>
      </c>
      <c r="H120" s="65" t="str">
        <f>IF(A119=$D$8,SUM($H$25:H119),IF(A119&gt;$D$8,"",F120+G120))</f>
        <v/>
      </c>
      <c r="I120" s="74" t="str">
        <f t="shared" si="42"/>
        <v/>
      </c>
      <c r="J120" s="74" t="str">
        <f t="shared" si="46"/>
        <v/>
      </c>
      <c r="K120" s="74"/>
      <c r="L120" s="74" t="str">
        <f t="shared" si="43"/>
        <v/>
      </c>
      <c r="M120" s="65" t="str">
        <f t="shared" si="36"/>
        <v/>
      </c>
      <c r="N120" s="65" t="str">
        <f t="shared" si="37"/>
        <v/>
      </c>
      <c r="O120" s="67"/>
      <c r="P120" s="70" t="str">
        <f>IF(A119=$D$8,XIRR(H$24:H119,C$24:C119),"")</f>
        <v/>
      </c>
      <c r="Q120" s="74" t="str">
        <f t="shared" si="35"/>
        <v/>
      </c>
      <c r="R120" s="65">
        <f t="shared" si="32"/>
        <v>0</v>
      </c>
      <c r="S120" s="67" t="e">
        <f t="shared" ca="1" si="33"/>
        <v>#VALUE!</v>
      </c>
      <c r="T120" s="67" t="e">
        <f t="shared" ca="1" si="34"/>
        <v>#VALUE!</v>
      </c>
      <c r="U120" s="67" t="e">
        <f t="shared" ca="1" si="44"/>
        <v>#VALUE!</v>
      </c>
      <c r="V120" s="72" t="e">
        <f t="shared" ca="1" si="45"/>
        <v>#VALUE!</v>
      </c>
      <c r="W120" s="73" t="e">
        <f t="shared" ca="1" si="28"/>
        <v>#VALUE!</v>
      </c>
      <c r="X120" s="67"/>
    </row>
    <row r="121" spans="1:24" x14ac:dyDescent="0.35">
      <c r="A121" s="68" t="str">
        <f t="shared" si="30"/>
        <v/>
      </c>
      <c r="B121" s="64" t="str">
        <f t="shared" si="41"/>
        <v/>
      </c>
      <c r="C121" s="64" t="str">
        <f t="shared" ca="1" si="31"/>
        <v xml:space="preserve"> </v>
      </c>
      <c r="D121" s="68" t="str">
        <f t="shared" si="39"/>
        <v/>
      </c>
      <c r="E121" s="65" t="str">
        <f t="shared" si="40"/>
        <v/>
      </c>
      <c r="F121" s="65" t="str">
        <f>IF(AND(A120="",A122=""),"",IF(A121="",ROUND(SUM($F$25:F120),2),IF(A121=$D$8,$E$24-ROUND(SUM($F$25:F120),2),ROUND($E$24/$D$8,2))))</f>
        <v/>
      </c>
      <c r="G121" s="65" t="str">
        <f>IF(A120=$D$8,ROUND(SUM($G$25:G120),2),IF(A121&gt;$D$8,"",IF(T121&lt;&gt;T120,ROUND(SUM(V121*$D$9*E120/T121,W121*$D$9*E120/T120),2),ROUND(E120*$D$9*D121/T120,2))))</f>
        <v/>
      </c>
      <c r="H121" s="65" t="str">
        <f>IF(A120=$D$8,SUM($H$25:H120),IF(A120&gt;$D$8,"",F121+G121))</f>
        <v/>
      </c>
      <c r="I121" s="74" t="str">
        <f t="shared" si="42"/>
        <v/>
      </c>
      <c r="J121" s="74" t="str">
        <f>IF($D$8&gt;A120,$N$9,IF($D$8=A120,SUM($J$24:J120)," "))</f>
        <v xml:space="preserve"> </v>
      </c>
      <c r="K121" s="74" t="str">
        <f>IF($D$8&gt;96,($O$8+$N$10*E120),IF($A$120=$D$8,$K$37+$K$24+$K$49+$K$61+$K$73+$K$85+$K$97+$K$109,""))</f>
        <v/>
      </c>
      <c r="L121" s="74" t="str">
        <f t="shared" si="43"/>
        <v/>
      </c>
      <c r="M121" s="65" t="str">
        <f t="shared" si="36"/>
        <v/>
      </c>
      <c r="N121" s="65" t="str">
        <f t="shared" si="37"/>
        <v/>
      </c>
      <c r="O121" s="67"/>
      <c r="P121" s="70" t="str">
        <f>IF(A120=$D$8,XIRR(H$24:H120,C$24:C120),"")</f>
        <v/>
      </c>
      <c r="Q121" s="74" t="str">
        <f t="shared" si="35"/>
        <v/>
      </c>
      <c r="R121" s="65">
        <f t="shared" si="32"/>
        <v>0</v>
      </c>
      <c r="S121" s="67" t="e">
        <f t="shared" ca="1" si="33"/>
        <v>#VALUE!</v>
      </c>
      <c r="T121" s="67" t="e">
        <f t="shared" ca="1" si="34"/>
        <v>#VALUE!</v>
      </c>
      <c r="U121" s="67" t="e">
        <f t="shared" ca="1" si="44"/>
        <v>#VALUE!</v>
      </c>
      <c r="V121" s="72" t="e">
        <f t="shared" ca="1" si="45"/>
        <v>#VALUE!</v>
      </c>
      <c r="W121" s="73" t="e">
        <f t="shared" ca="1" si="28"/>
        <v>#VALUE!</v>
      </c>
      <c r="X121" s="67"/>
    </row>
    <row r="122" spans="1:24" x14ac:dyDescent="0.35">
      <c r="A122" s="68" t="str">
        <f t="shared" si="30"/>
        <v/>
      </c>
      <c r="B122" s="64" t="str">
        <f t="shared" si="41"/>
        <v/>
      </c>
      <c r="C122" s="64" t="str">
        <f t="shared" ca="1" si="31"/>
        <v xml:space="preserve"> </v>
      </c>
      <c r="D122" s="68" t="str">
        <f t="shared" si="39"/>
        <v/>
      </c>
      <c r="E122" s="65" t="str">
        <f t="shared" si="40"/>
        <v/>
      </c>
      <c r="F122" s="65" t="str">
        <f>IF(AND(A121="",A123=""),"",IF(A122="",ROUND(SUM($F$25:F121),2),IF(A122=$D$8,$E$24-ROUND(SUM($F$25:F121),2),ROUND($E$24/$D$8,2))))</f>
        <v/>
      </c>
      <c r="G122" s="65" t="str">
        <f>IF(A121=$D$8,ROUND(SUM($G$25:G121),2),IF(A122&gt;$D$8,"",IF(T122&lt;&gt;T121,ROUND(SUM(V122*$D$9*E121/T122,W122*$D$9*E121/T121),2),ROUND(E121*$D$9*D122/T121,2))))</f>
        <v/>
      </c>
      <c r="H122" s="65" t="str">
        <f>IF(A121=$D$8,SUM($H$25:H121),IF(A121&gt;$D$8,"",F122+G122))</f>
        <v/>
      </c>
      <c r="I122" s="74" t="str">
        <f t="shared" si="42"/>
        <v/>
      </c>
      <c r="J122" s="74" t="str">
        <f t="shared" ref="J122:J132" si="47">IF(A121=$D$8,$J$24,"")</f>
        <v/>
      </c>
      <c r="K122" s="74"/>
      <c r="L122" s="74" t="str">
        <f t="shared" si="43"/>
        <v/>
      </c>
      <c r="M122" s="65" t="str">
        <f t="shared" si="36"/>
        <v/>
      </c>
      <c r="N122" s="65" t="str">
        <f t="shared" si="37"/>
        <v/>
      </c>
      <c r="O122" s="67"/>
      <c r="P122" s="70" t="str">
        <f>IF(A121=$D$8,XIRR(H$24:H121,C$24:C121),"")</f>
        <v/>
      </c>
      <c r="Q122" s="74" t="str">
        <f t="shared" si="35"/>
        <v/>
      </c>
      <c r="R122" s="65">
        <f t="shared" si="32"/>
        <v>0</v>
      </c>
      <c r="S122" s="67" t="e">
        <f t="shared" ca="1" si="33"/>
        <v>#VALUE!</v>
      </c>
      <c r="T122" s="67" t="e">
        <f t="shared" ca="1" si="34"/>
        <v>#VALUE!</v>
      </c>
      <c r="U122" s="67" t="e">
        <f t="shared" ca="1" si="44"/>
        <v>#VALUE!</v>
      </c>
      <c r="V122" s="72" t="e">
        <f t="shared" ca="1" si="45"/>
        <v>#VALUE!</v>
      </c>
      <c r="W122" s="73" t="e">
        <f t="shared" ca="1" si="28"/>
        <v>#VALUE!</v>
      </c>
      <c r="X122" s="67"/>
    </row>
    <row r="123" spans="1:24" x14ac:dyDescent="0.35">
      <c r="A123" s="68" t="str">
        <f t="shared" si="30"/>
        <v/>
      </c>
      <c r="B123" s="64" t="str">
        <f t="shared" si="41"/>
        <v/>
      </c>
      <c r="C123" s="64" t="str">
        <f t="shared" ca="1" si="31"/>
        <v xml:space="preserve"> </v>
      </c>
      <c r="D123" s="68" t="str">
        <f t="shared" si="39"/>
        <v/>
      </c>
      <c r="E123" s="65" t="str">
        <f t="shared" si="40"/>
        <v/>
      </c>
      <c r="F123" s="65" t="str">
        <f>IF(AND(A122="",A124=""),"",IF(A123="",ROUND(SUM($F$25:F122),2),IF(A123=$D$8,$E$24-ROUND(SUM($F$25:F122),2),ROUND($E$24/$D$8,2))))</f>
        <v/>
      </c>
      <c r="G123" s="65" t="str">
        <f>IF(A122=$D$8,ROUND(SUM($G$25:G122),2),IF(A123&gt;$D$8,"",IF(T123&lt;&gt;T122,ROUND(SUM(V123*$D$9*E122/T123,W123*$D$9*E122/T122),2),ROUND(E122*$D$9*D123/T122,2))))</f>
        <v/>
      </c>
      <c r="H123" s="65" t="str">
        <f>IF(A122=$D$8,SUM($H$25:H122),IF(A122&gt;$D$8,"",F123+G123))</f>
        <v/>
      </c>
      <c r="I123" s="74" t="str">
        <f t="shared" si="42"/>
        <v/>
      </c>
      <c r="J123" s="74" t="str">
        <f t="shared" si="47"/>
        <v/>
      </c>
      <c r="K123" s="74"/>
      <c r="L123" s="74" t="str">
        <f t="shared" si="43"/>
        <v/>
      </c>
      <c r="M123" s="65" t="str">
        <f t="shared" si="36"/>
        <v/>
      </c>
      <c r="N123" s="65" t="str">
        <f t="shared" si="37"/>
        <v/>
      </c>
      <c r="O123" s="67"/>
      <c r="P123" s="70" t="str">
        <f>IF(A122=$D$8,XIRR(H$24:H122,C$24:C122),"")</f>
        <v/>
      </c>
      <c r="Q123" s="74" t="str">
        <f t="shared" si="35"/>
        <v/>
      </c>
      <c r="R123" s="65">
        <f t="shared" si="32"/>
        <v>0</v>
      </c>
      <c r="S123" s="67" t="e">
        <f t="shared" ca="1" si="33"/>
        <v>#VALUE!</v>
      </c>
      <c r="T123" s="67" t="e">
        <f t="shared" ca="1" si="34"/>
        <v>#VALUE!</v>
      </c>
      <c r="U123" s="67" t="e">
        <f t="shared" ca="1" si="44"/>
        <v>#VALUE!</v>
      </c>
      <c r="V123" s="72" t="e">
        <f t="shared" ca="1" si="45"/>
        <v>#VALUE!</v>
      </c>
      <c r="W123" s="73" t="e">
        <f t="shared" ca="1" si="28"/>
        <v>#VALUE!</v>
      </c>
      <c r="X123" s="67"/>
    </row>
    <row r="124" spans="1:24" x14ac:dyDescent="0.35">
      <c r="A124" s="68" t="str">
        <f t="shared" si="30"/>
        <v/>
      </c>
      <c r="B124" s="64" t="str">
        <f t="shared" si="41"/>
        <v/>
      </c>
      <c r="C124" s="64" t="str">
        <f t="shared" ca="1" si="31"/>
        <v xml:space="preserve"> </v>
      </c>
      <c r="D124" s="68" t="str">
        <f t="shared" si="39"/>
        <v/>
      </c>
      <c r="E124" s="65" t="str">
        <f t="shared" si="40"/>
        <v/>
      </c>
      <c r="F124" s="65" t="str">
        <f>IF(AND(A123="",A125=""),"",IF(A124="",ROUND(SUM($F$25:F123),2),IF(A124=$D$8,$E$24-ROUND(SUM($F$25:F123),2),ROUND($E$24/$D$8,2))))</f>
        <v/>
      </c>
      <c r="G124" s="65" t="str">
        <f>IF(A123=$D$8,ROUND(SUM($G$25:G123),2),IF(A124&gt;$D$8,"",IF(T124&lt;&gt;T123,ROUND(SUM(V124*$D$9*E123/T124,W124*$D$9*E123/T123),2),ROUND(E123*$D$9*D124/T123,2))))</f>
        <v/>
      </c>
      <c r="H124" s="65" t="str">
        <f>IF(A123=$D$8,SUM($H$25:H123),IF(A123&gt;$D$8,"",F124+G124))</f>
        <v/>
      </c>
      <c r="I124" s="74" t="str">
        <f t="shared" si="42"/>
        <v/>
      </c>
      <c r="J124" s="74" t="str">
        <f t="shared" si="47"/>
        <v/>
      </c>
      <c r="K124" s="74"/>
      <c r="L124" s="74" t="str">
        <f t="shared" si="43"/>
        <v/>
      </c>
      <c r="M124" s="65" t="str">
        <f t="shared" si="36"/>
        <v/>
      </c>
      <c r="N124" s="65" t="str">
        <f t="shared" si="37"/>
        <v/>
      </c>
      <c r="O124" s="67"/>
      <c r="P124" s="70" t="str">
        <f>IF(A123=$D$8,XIRR(H$24:H123,C$24:C123),"")</f>
        <v/>
      </c>
      <c r="Q124" s="74" t="str">
        <f t="shared" si="35"/>
        <v/>
      </c>
      <c r="R124" s="65">
        <f t="shared" si="32"/>
        <v>0</v>
      </c>
      <c r="S124" s="67" t="e">
        <f t="shared" ca="1" si="33"/>
        <v>#VALUE!</v>
      </c>
      <c r="T124" s="67" t="e">
        <f t="shared" ca="1" si="34"/>
        <v>#VALUE!</v>
      </c>
      <c r="U124" s="67" t="e">
        <f t="shared" ca="1" si="44"/>
        <v>#VALUE!</v>
      </c>
      <c r="V124" s="72" t="e">
        <f t="shared" ca="1" si="45"/>
        <v>#VALUE!</v>
      </c>
      <c r="W124" s="73" t="e">
        <f t="shared" ca="1" si="28"/>
        <v>#VALUE!</v>
      </c>
      <c r="X124" s="67"/>
    </row>
    <row r="125" spans="1:24" x14ac:dyDescent="0.35">
      <c r="A125" s="68" t="str">
        <f t="shared" si="30"/>
        <v/>
      </c>
      <c r="B125" s="64" t="str">
        <f t="shared" si="41"/>
        <v/>
      </c>
      <c r="C125" s="64" t="str">
        <f t="shared" ca="1" si="31"/>
        <v xml:space="preserve"> </v>
      </c>
      <c r="D125" s="68" t="str">
        <f t="shared" si="39"/>
        <v/>
      </c>
      <c r="E125" s="65" t="str">
        <f t="shared" si="40"/>
        <v/>
      </c>
      <c r="F125" s="65" t="str">
        <f>IF(AND(A124="",A126=""),"",IF(A125="",ROUND(SUM($F$25:F124),2),IF(A125=$D$8,$E$24-ROUND(SUM($F$25:F124),2),ROUND($E$24/$D$8,2))))</f>
        <v/>
      </c>
      <c r="G125" s="65" t="str">
        <f>IF(A124=$D$8,ROUND(SUM($G$25:G124),2),IF(A125&gt;$D$8,"",IF(T125&lt;&gt;T124,ROUND(SUM(V125*$D$9*E124/T125,W125*$D$9*E124/T124),2),ROUND(E124*$D$9*D125/T124,2))))</f>
        <v/>
      </c>
      <c r="H125" s="65" t="str">
        <f>IF(A124=$D$8,SUM($H$25:H124),IF(A124&gt;$D$8,"",F125+G125))</f>
        <v/>
      </c>
      <c r="I125" s="74" t="str">
        <f t="shared" si="42"/>
        <v/>
      </c>
      <c r="J125" s="74" t="str">
        <f t="shared" si="47"/>
        <v/>
      </c>
      <c r="K125" s="74"/>
      <c r="L125" s="74" t="str">
        <f t="shared" si="43"/>
        <v/>
      </c>
      <c r="M125" s="65" t="str">
        <f t="shared" si="36"/>
        <v/>
      </c>
      <c r="N125" s="65" t="str">
        <f t="shared" si="37"/>
        <v/>
      </c>
      <c r="O125" s="67"/>
      <c r="P125" s="70" t="str">
        <f>IF(A124=$D$8,XIRR(H$24:H124,C$24:C124),"")</f>
        <v/>
      </c>
      <c r="Q125" s="74" t="str">
        <f t="shared" si="35"/>
        <v/>
      </c>
      <c r="R125" s="65">
        <f t="shared" si="32"/>
        <v>0</v>
      </c>
      <c r="S125" s="67" t="e">
        <f t="shared" ca="1" si="33"/>
        <v>#VALUE!</v>
      </c>
      <c r="T125" s="67" t="e">
        <f t="shared" ca="1" si="34"/>
        <v>#VALUE!</v>
      </c>
      <c r="U125" s="67" t="e">
        <f t="shared" ca="1" si="44"/>
        <v>#VALUE!</v>
      </c>
      <c r="V125" s="72" t="e">
        <f t="shared" ca="1" si="45"/>
        <v>#VALUE!</v>
      </c>
      <c r="W125" s="73" t="e">
        <f t="shared" ca="1" si="28"/>
        <v>#VALUE!</v>
      </c>
      <c r="X125" s="67"/>
    </row>
    <row r="126" spans="1:24" x14ac:dyDescent="0.35">
      <c r="A126" s="68" t="str">
        <f t="shared" si="30"/>
        <v/>
      </c>
      <c r="B126" s="64" t="str">
        <f t="shared" si="41"/>
        <v/>
      </c>
      <c r="C126" s="64" t="str">
        <f t="shared" ca="1" si="31"/>
        <v xml:space="preserve"> </v>
      </c>
      <c r="D126" s="68" t="str">
        <f t="shared" si="39"/>
        <v/>
      </c>
      <c r="E126" s="65" t="str">
        <f t="shared" si="40"/>
        <v/>
      </c>
      <c r="F126" s="65" t="str">
        <f>IF(AND(A125="",A127=""),"",IF(A126="",ROUND(SUM($F$25:F125),2),IF(A126=$D$8,$E$24-ROUND(SUM($F$25:F125),2),ROUND($E$24/$D$8,2))))</f>
        <v/>
      </c>
      <c r="G126" s="65" t="str">
        <f>IF(A125=$D$8,ROUND(SUM($G$25:G125),2),IF(A126&gt;$D$8,"",IF(T126&lt;&gt;T125,ROUND(SUM(V126*$D$9*E125/T126,W126*$D$9*E125/T125),2),ROUND(E125*$D$9*D126/T125,2))))</f>
        <v/>
      </c>
      <c r="H126" s="65" t="str">
        <f>IF(A125=$D$8,SUM($H$25:H125),IF(A125&gt;$D$8,"",F126+G126))</f>
        <v/>
      </c>
      <c r="I126" s="74" t="str">
        <f t="shared" si="42"/>
        <v/>
      </c>
      <c r="J126" s="74" t="str">
        <f t="shared" si="47"/>
        <v/>
      </c>
      <c r="K126" s="74"/>
      <c r="L126" s="74" t="str">
        <f t="shared" si="43"/>
        <v/>
      </c>
      <c r="M126" s="65" t="str">
        <f t="shared" si="36"/>
        <v/>
      </c>
      <c r="N126" s="65" t="str">
        <f t="shared" si="37"/>
        <v/>
      </c>
      <c r="O126" s="67"/>
      <c r="P126" s="70" t="str">
        <f>IF(A125=$D$8,XIRR(H$24:H125,C$24:C125),"")</f>
        <v/>
      </c>
      <c r="Q126" s="74" t="str">
        <f t="shared" si="35"/>
        <v/>
      </c>
      <c r="R126" s="65">
        <f t="shared" si="32"/>
        <v>0</v>
      </c>
      <c r="S126" s="67" t="e">
        <f t="shared" ca="1" si="33"/>
        <v>#VALUE!</v>
      </c>
      <c r="T126" s="67" t="e">
        <f t="shared" ca="1" si="34"/>
        <v>#VALUE!</v>
      </c>
      <c r="U126" s="67" t="e">
        <f t="shared" ca="1" si="44"/>
        <v>#VALUE!</v>
      </c>
      <c r="V126" s="72" t="e">
        <f t="shared" ca="1" si="45"/>
        <v>#VALUE!</v>
      </c>
      <c r="W126" s="73" t="e">
        <f t="shared" ca="1" si="28"/>
        <v>#VALUE!</v>
      </c>
      <c r="X126" s="67"/>
    </row>
    <row r="127" spans="1:24" x14ac:dyDescent="0.35">
      <c r="A127" s="68" t="str">
        <f t="shared" si="30"/>
        <v/>
      </c>
      <c r="B127" s="64" t="str">
        <f t="shared" si="41"/>
        <v/>
      </c>
      <c r="C127" s="64" t="str">
        <f t="shared" ca="1" si="31"/>
        <v xml:space="preserve"> </v>
      </c>
      <c r="D127" s="68" t="str">
        <f t="shared" si="39"/>
        <v/>
      </c>
      <c r="E127" s="65" t="str">
        <f t="shared" si="40"/>
        <v/>
      </c>
      <c r="F127" s="65" t="str">
        <f>IF(AND(A126="",A128=""),"",IF(A127="",ROUND(SUM($F$25:F126),2),IF(A127=$D$8,$E$24-ROUND(SUM($F$25:F126),2),ROUND($E$24/$D$8,2))))</f>
        <v/>
      </c>
      <c r="G127" s="65" t="str">
        <f>IF(A126=$D$8,ROUND(SUM($G$25:G126),2),IF(A127&gt;$D$8,"",IF(T127&lt;&gt;T126,ROUND(SUM(V127*$D$9*E126/T127,W127*$D$9*E126/T126),2),ROUND(E126*$D$9*D127/T126,2))))</f>
        <v/>
      </c>
      <c r="H127" s="65" t="str">
        <f>IF(A126=$D$8,SUM($H$25:H126),IF(A126&gt;$D$8,"",F127+G127))</f>
        <v/>
      </c>
      <c r="I127" s="74" t="str">
        <f t="shared" si="42"/>
        <v/>
      </c>
      <c r="J127" s="74" t="str">
        <f t="shared" si="47"/>
        <v/>
      </c>
      <c r="K127" s="74"/>
      <c r="L127" s="74" t="str">
        <f t="shared" si="43"/>
        <v/>
      </c>
      <c r="M127" s="65" t="str">
        <f t="shared" si="36"/>
        <v/>
      </c>
      <c r="N127" s="65" t="str">
        <f t="shared" si="37"/>
        <v/>
      </c>
      <c r="O127" s="67"/>
      <c r="P127" s="70" t="str">
        <f>IF(A126=$D$8,XIRR(H$24:H126,C$24:C126),"")</f>
        <v/>
      </c>
      <c r="Q127" s="74" t="str">
        <f t="shared" si="35"/>
        <v/>
      </c>
      <c r="R127" s="65">
        <f t="shared" si="32"/>
        <v>0</v>
      </c>
      <c r="S127" s="67" t="e">
        <f t="shared" ca="1" si="33"/>
        <v>#VALUE!</v>
      </c>
      <c r="T127" s="67" t="e">
        <f t="shared" ca="1" si="34"/>
        <v>#VALUE!</v>
      </c>
      <c r="U127" s="67" t="e">
        <f t="shared" ca="1" si="44"/>
        <v>#VALUE!</v>
      </c>
      <c r="V127" s="72" t="e">
        <f t="shared" ca="1" si="45"/>
        <v>#VALUE!</v>
      </c>
      <c r="W127" s="73" t="e">
        <f t="shared" ca="1" si="28"/>
        <v>#VALUE!</v>
      </c>
      <c r="X127" s="67"/>
    </row>
    <row r="128" spans="1:24" x14ac:dyDescent="0.35">
      <c r="A128" s="68" t="str">
        <f t="shared" si="30"/>
        <v/>
      </c>
      <c r="B128" s="64" t="str">
        <f t="shared" si="41"/>
        <v/>
      </c>
      <c r="C128" s="64" t="str">
        <f t="shared" ca="1" si="31"/>
        <v xml:space="preserve"> </v>
      </c>
      <c r="D128" s="68" t="str">
        <f t="shared" si="39"/>
        <v/>
      </c>
      <c r="E128" s="65" t="str">
        <f t="shared" si="40"/>
        <v/>
      </c>
      <c r="F128" s="65" t="str">
        <f>IF(AND(A127="",A129=""),"",IF(A128="",ROUND(SUM($F$25:F127),2),IF(A128=$D$8,$E$24-ROUND(SUM($F$25:F127),2),ROUND($E$24/$D$8,2))))</f>
        <v/>
      </c>
      <c r="G128" s="65" t="str">
        <f>IF(A127=$D$8,ROUND(SUM($G$25:G127),2),IF(A128&gt;$D$8,"",IF(T128&lt;&gt;T127,ROUND(SUM(V128*$D$9*E127/T128,W128*$D$9*E127/T127),2),ROUND(E127*$D$9*D128/T127,2))))</f>
        <v/>
      </c>
      <c r="H128" s="65" t="str">
        <f>IF(A127=$D$8,SUM($H$25:H127),IF(A127&gt;$D$8,"",F128+G128))</f>
        <v/>
      </c>
      <c r="I128" s="74" t="str">
        <f t="shared" si="42"/>
        <v/>
      </c>
      <c r="J128" s="74" t="str">
        <f t="shared" si="47"/>
        <v/>
      </c>
      <c r="K128" s="74"/>
      <c r="L128" s="74" t="str">
        <f t="shared" si="43"/>
        <v/>
      </c>
      <c r="M128" s="65" t="str">
        <f t="shared" si="36"/>
        <v/>
      </c>
      <c r="N128" s="65" t="str">
        <f t="shared" si="37"/>
        <v/>
      </c>
      <c r="O128" s="67"/>
      <c r="P128" s="70" t="str">
        <f>IF(A127=$D$8,XIRR(H$24:H127,C$24:C127),"")</f>
        <v/>
      </c>
      <c r="Q128" s="74" t="str">
        <f t="shared" si="35"/>
        <v/>
      </c>
      <c r="R128" s="65">
        <f t="shared" si="32"/>
        <v>0</v>
      </c>
      <c r="S128" s="67" t="e">
        <f t="shared" ca="1" si="33"/>
        <v>#VALUE!</v>
      </c>
      <c r="T128" s="67" t="e">
        <f t="shared" ca="1" si="34"/>
        <v>#VALUE!</v>
      </c>
      <c r="U128" s="67" t="e">
        <f t="shared" ca="1" si="44"/>
        <v>#VALUE!</v>
      </c>
      <c r="V128" s="72" t="e">
        <f t="shared" ca="1" si="45"/>
        <v>#VALUE!</v>
      </c>
      <c r="W128" s="73" t="e">
        <f t="shared" ca="1" si="28"/>
        <v>#VALUE!</v>
      </c>
      <c r="X128" s="67"/>
    </row>
    <row r="129" spans="1:24" x14ac:dyDescent="0.35">
      <c r="A129" s="68" t="str">
        <f t="shared" si="30"/>
        <v/>
      </c>
      <c r="B129" s="64" t="str">
        <f t="shared" si="41"/>
        <v/>
      </c>
      <c r="C129" s="64" t="str">
        <f t="shared" ca="1" si="31"/>
        <v xml:space="preserve"> </v>
      </c>
      <c r="D129" s="68" t="str">
        <f t="shared" si="39"/>
        <v/>
      </c>
      <c r="E129" s="65" t="str">
        <f t="shared" si="40"/>
        <v/>
      </c>
      <c r="F129" s="65" t="str">
        <f>IF(AND(A128="",A130=""),"",IF(A129="",ROUND(SUM($F$25:F128),2),IF(A129=$D$8,$E$24-ROUND(SUM($F$25:F128),2),ROUND($E$24/$D$8,2))))</f>
        <v/>
      </c>
      <c r="G129" s="65" t="str">
        <f>IF(A128=$D$8,ROUND(SUM($G$25:G128),2),IF(A129&gt;$D$8,"",IF(T129&lt;&gt;T128,ROUND(SUM(V129*$D$9*E128/T129,W129*$D$9*E128/T128),2),ROUND(E128*$D$9*D129/T128,2))))</f>
        <v/>
      </c>
      <c r="H129" s="65" t="str">
        <f>IF(A128=$D$8,SUM($H$25:H128),IF(A128&gt;$D$8,"",F129+G129))</f>
        <v/>
      </c>
      <c r="I129" s="74" t="str">
        <f t="shared" si="42"/>
        <v/>
      </c>
      <c r="J129" s="74" t="str">
        <f t="shared" si="47"/>
        <v/>
      </c>
      <c r="K129" s="74"/>
      <c r="L129" s="74" t="str">
        <f t="shared" si="43"/>
        <v/>
      </c>
      <c r="M129" s="65" t="str">
        <f t="shared" si="36"/>
        <v/>
      </c>
      <c r="N129" s="65" t="str">
        <f t="shared" si="37"/>
        <v/>
      </c>
      <c r="O129" s="67"/>
      <c r="P129" s="70" t="str">
        <f>IF(A128=$D$8,XIRR(H$24:H128,C$24:C128),"")</f>
        <v/>
      </c>
      <c r="Q129" s="74" t="str">
        <f t="shared" si="35"/>
        <v/>
      </c>
      <c r="R129" s="65">
        <f t="shared" si="32"/>
        <v>0</v>
      </c>
      <c r="S129" s="67" t="e">
        <f t="shared" ca="1" si="33"/>
        <v>#VALUE!</v>
      </c>
      <c r="T129" s="67" t="e">
        <f t="shared" ca="1" si="34"/>
        <v>#VALUE!</v>
      </c>
      <c r="U129" s="67" t="e">
        <f t="shared" ca="1" si="44"/>
        <v>#VALUE!</v>
      </c>
      <c r="V129" s="72" t="e">
        <f t="shared" ca="1" si="45"/>
        <v>#VALUE!</v>
      </c>
      <c r="W129" s="73" t="e">
        <f t="shared" ca="1" si="28"/>
        <v>#VALUE!</v>
      </c>
      <c r="X129" s="67"/>
    </row>
    <row r="130" spans="1:24" x14ac:dyDescent="0.35">
      <c r="A130" s="68" t="str">
        <f t="shared" si="30"/>
        <v/>
      </c>
      <c r="B130" s="64" t="str">
        <f t="shared" si="41"/>
        <v/>
      </c>
      <c r="C130" s="64" t="str">
        <f t="shared" ca="1" si="31"/>
        <v xml:space="preserve"> </v>
      </c>
      <c r="D130" s="68" t="str">
        <f t="shared" si="39"/>
        <v/>
      </c>
      <c r="E130" s="65" t="str">
        <f t="shared" si="40"/>
        <v/>
      </c>
      <c r="F130" s="65" t="str">
        <f>IF(AND(A129="",A131=""),"",IF(A130="",ROUND(SUM($F$25:F129),2),IF(A130=$D$8,$E$24-ROUND(SUM($F$25:F129),2),ROUND($E$24/$D$8,2))))</f>
        <v/>
      </c>
      <c r="G130" s="65" t="str">
        <f>IF(A129=$D$8,ROUND(SUM($G$25:G129),2),IF(A130&gt;$D$8,"",IF(T130&lt;&gt;T129,ROUND(SUM(V130*$D$9*E129/T130,W130*$D$9*E129/T129),2),ROUND(E129*$D$9*D130/T129,2))))</f>
        <v/>
      </c>
      <c r="H130" s="65" t="str">
        <f>IF(A129=$D$8,SUM($H$25:H129),IF(A129&gt;$D$8,"",F130+G130))</f>
        <v/>
      </c>
      <c r="I130" s="74" t="str">
        <f t="shared" si="42"/>
        <v/>
      </c>
      <c r="J130" s="74" t="str">
        <f t="shared" si="47"/>
        <v/>
      </c>
      <c r="K130" s="74"/>
      <c r="L130" s="74" t="str">
        <f t="shared" si="43"/>
        <v/>
      </c>
      <c r="M130" s="65" t="str">
        <f t="shared" si="36"/>
        <v/>
      </c>
      <c r="N130" s="65" t="str">
        <f t="shared" si="37"/>
        <v/>
      </c>
      <c r="O130" s="67"/>
      <c r="P130" s="70" t="str">
        <f>IF(A129=$D$8,XIRR(H$24:H129,C$24:C129),"")</f>
        <v/>
      </c>
      <c r="Q130" s="74" t="str">
        <f t="shared" si="35"/>
        <v/>
      </c>
      <c r="R130" s="65">
        <f t="shared" si="32"/>
        <v>0</v>
      </c>
      <c r="S130" s="67" t="e">
        <f t="shared" ca="1" si="33"/>
        <v>#VALUE!</v>
      </c>
      <c r="T130" s="67" t="e">
        <f t="shared" ca="1" si="34"/>
        <v>#VALUE!</v>
      </c>
      <c r="U130" s="67" t="e">
        <f t="shared" ca="1" si="44"/>
        <v>#VALUE!</v>
      </c>
      <c r="V130" s="72" t="e">
        <f t="shared" ca="1" si="45"/>
        <v>#VALUE!</v>
      </c>
      <c r="W130" s="73" t="e">
        <f t="shared" ca="1" si="28"/>
        <v>#VALUE!</v>
      </c>
      <c r="X130" s="67"/>
    </row>
    <row r="131" spans="1:24" x14ac:dyDescent="0.35">
      <c r="A131" s="68" t="str">
        <f t="shared" si="30"/>
        <v/>
      </c>
      <c r="B131" s="64" t="str">
        <f t="shared" si="41"/>
        <v/>
      </c>
      <c r="C131" s="64" t="str">
        <f t="shared" ca="1" si="31"/>
        <v xml:space="preserve"> </v>
      </c>
      <c r="D131" s="68" t="str">
        <f t="shared" si="39"/>
        <v/>
      </c>
      <c r="E131" s="65" t="str">
        <f t="shared" si="40"/>
        <v/>
      </c>
      <c r="F131" s="65" t="str">
        <f>IF(AND(A130="",A132=""),"",IF(A131="",ROUND(SUM($F$25:F130),2),IF(A131=$D$8,$E$24-ROUND(SUM($F$25:F130),2),ROUND($E$24/$D$8,2))))</f>
        <v/>
      </c>
      <c r="G131" s="65" t="str">
        <f>IF(A130=$D$8,ROUND(SUM($G$25:G130),2),IF(A131&gt;$D$8,"",IF(T131&lt;&gt;T130,ROUND(SUM(V131*$D$9*E130/T131,W131*$D$9*E130/T130),2),ROUND(E130*$D$9*D131/T130,2))))</f>
        <v/>
      </c>
      <c r="H131" s="65" t="str">
        <f>IF(A130=$D$8,SUM($H$25:H130),IF(A130&gt;$D$8,"",F131+G131))</f>
        <v/>
      </c>
      <c r="I131" s="74" t="str">
        <f t="shared" si="42"/>
        <v/>
      </c>
      <c r="J131" s="74" t="str">
        <f t="shared" si="47"/>
        <v/>
      </c>
      <c r="K131" s="74"/>
      <c r="L131" s="74" t="str">
        <f t="shared" si="43"/>
        <v/>
      </c>
      <c r="M131" s="65" t="str">
        <f t="shared" si="36"/>
        <v/>
      </c>
      <c r="N131" s="65" t="str">
        <f t="shared" si="37"/>
        <v/>
      </c>
      <c r="O131" s="67"/>
      <c r="P131" s="70" t="str">
        <f>IF(A130=$D$8,XIRR(H$24:H130,C$24:C130),"")</f>
        <v/>
      </c>
      <c r="Q131" s="74" t="str">
        <f t="shared" si="35"/>
        <v/>
      </c>
      <c r="R131" s="65">
        <f t="shared" si="32"/>
        <v>0</v>
      </c>
      <c r="S131" s="67" t="e">
        <f t="shared" ca="1" si="33"/>
        <v>#VALUE!</v>
      </c>
      <c r="T131" s="67" t="e">
        <f t="shared" ca="1" si="34"/>
        <v>#VALUE!</v>
      </c>
      <c r="U131" s="67" t="e">
        <f t="shared" ca="1" si="44"/>
        <v>#VALUE!</v>
      </c>
      <c r="V131" s="72" t="e">
        <f t="shared" ca="1" si="45"/>
        <v>#VALUE!</v>
      </c>
      <c r="W131" s="73" t="e">
        <f t="shared" ca="1" si="28"/>
        <v>#VALUE!</v>
      </c>
      <c r="X131" s="67"/>
    </row>
    <row r="132" spans="1:24" x14ac:dyDescent="0.35">
      <c r="A132" s="68" t="str">
        <f t="shared" si="30"/>
        <v/>
      </c>
      <c r="B132" s="64" t="str">
        <f t="shared" si="41"/>
        <v/>
      </c>
      <c r="C132" s="64" t="str">
        <f t="shared" ca="1" si="31"/>
        <v xml:space="preserve"> </v>
      </c>
      <c r="D132" s="68" t="str">
        <f t="shared" si="39"/>
        <v/>
      </c>
      <c r="E132" s="65" t="str">
        <f t="shared" si="40"/>
        <v/>
      </c>
      <c r="F132" s="65" t="str">
        <f>IF(AND(A131="",A133=""),"",IF(A132="",ROUND(SUM($F$25:F131),2),IF(A132=$D$8,$E$24-ROUND(SUM($F$25:F131),2),ROUND($E$24/$D$8,2))))</f>
        <v/>
      </c>
      <c r="G132" s="65" t="str">
        <f>IF(A131=$D$8,ROUND(SUM($G$25:G131),2),IF(A132&gt;$D$8,"",IF(T132&lt;&gt;T131,ROUND(SUM(V132*$D$9*E131/T132,W132*$D$9*E131/T131),2),ROUND(E131*$D$9*D132/T131,2))))</f>
        <v/>
      </c>
      <c r="H132" s="65" t="str">
        <f>IF(A131=$D$8,SUM($H$25:H131),IF(A131&gt;$D$8,"",F132+G132))</f>
        <v/>
      </c>
      <c r="I132" s="74" t="str">
        <f t="shared" si="42"/>
        <v/>
      </c>
      <c r="J132" s="74" t="str">
        <f t="shared" si="47"/>
        <v/>
      </c>
      <c r="K132" s="74"/>
      <c r="L132" s="74" t="str">
        <f t="shared" si="43"/>
        <v/>
      </c>
      <c r="M132" s="65" t="str">
        <f t="shared" si="36"/>
        <v/>
      </c>
      <c r="N132" s="65" t="str">
        <f t="shared" si="37"/>
        <v/>
      </c>
      <c r="O132" s="67"/>
      <c r="P132" s="70" t="str">
        <f>IF(A131=$D$8,XIRR(H$24:H131,C$24:C131),"")</f>
        <v/>
      </c>
      <c r="Q132" s="74" t="str">
        <f t="shared" si="35"/>
        <v/>
      </c>
      <c r="R132" s="65">
        <f t="shared" si="32"/>
        <v>0</v>
      </c>
      <c r="S132" s="67" t="e">
        <f t="shared" ca="1" si="33"/>
        <v>#VALUE!</v>
      </c>
      <c r="T132" s="67" t="e">
        <f t="shared" ca="1" si="34"/>
        <v>#VALUE!</v>
      </c>
      <c r="U132" s="67" t="e">
        <f t="shared" ca="1" si="44"/>
        <v>#VALUE!</v>
      </c>
      <c r="V132" s="72" t="e">
        <f t="shared" ca="1" si="45"/>
        <v>#VALUE!</v>
      </c>
      <c r="W132" s="73" t="e">
        <f t="shared" ca="1" si="28"/>
        <v>#VALUE!</v>
      </c>
      <c r="X132" s="67"/>
    </row>
    <row r="133" spans="1:24" x14ac:dyDescent="0.35">
      <c r="A133" s="68" t="str">
        <f t="shared" si="30"/>
        <v/>
      </c>
      <c r="B133" s="64" t="str">
        <f t="shared" si="41"/>
        <v/>
      </c>
      <c r="C133" s="64" t="str">
        <f t="shared" ca="1" si="31"/>
        <v xml:space="preserve"> </v>
      </c>
      <c r="D133" s="68" t="str">
        <f t="shared" si="39"/>
        <v/>
      </c>
      <c r="E133" s="65" t="str">
        <f t="shared" si="40"/>
        <v/>
      </c>
      <c r="F133" s="65" t="str">
        <f>IF(AND(A132="",A134=""),"",IF(A133="",ROUND(SUM($F$25:F132),2),IF(A133=$D$8,$E$24-ROUND(SUM($F$25:F132),2),ROUND($E$24/$D$8,2))))</f>
        <v/>
      </c>
      <c r="G133" s="65" t="str">
        <f>IF(A132=$D$8,ROUND(SUM($G$25:G132),2),IF(A133&gt;$D$8,"",IF(T133&lt;&gt;T132,ROUND(SUM(V133*$D$9*E132/T133,W133*$D$9*E132/T132),2),ROUND(E132*$D$9*D133/T132,2))))</f>
        <v/>
      </c>
      <c r="H133" s="65" t="str">
        <f>IF(A132=$D$8,SUM($H$25:H132),IF(A132&gt;$D$8,"",F133+G133))</f>
        <v/>
      </c>
      <c r="I133" s="74" t="str">
        <f t="shared" si="42"/>
        <v/>
      </c>
      <c r="J133" s="74" t="str">
        <f>IF($D$8&gt;A132,$N$9,IF($D$8=A132,SUM($J$24:J132)," "))</f>
        <v xml:space="preserve"> </v>
      </c>
      <c r="K133" s="74" t="str">
        <f>IF($D$8&gt;A132,($O$8+$N$10*E132),IF(A132=$D$8,$K$37+$K$24+$K$49+$K$61+$K$73+$K$85+$K$97+$K$109+$K$121,""))</f>
        <v/>
      </c>
      <c r="L133" s="74" t="str">
        <f t="shared" si="43"/>
        <v/>
      </c>
      <c r="M133" s="65" t="str">
        <f t="shared" si="36"/>
        <v/>
      </c>
      <c r="N133" s="65" t="str">
        <f t="shared" si="37"/>
        <v/>
      </c>
      <c r="O133" s="67"/>
      <c r="P133" s="70" t="str">
        <f>IF(A132=$D$8,XIRR(H$24:H132,C$24:C132),"")</f>
        <v/>
      </c>
      <c r="Q133" s="74" t="str">
        <f t="shared" si="35"/>
        <v/>
      </c>
      <c r="R133" s="65">
        <f t="shared" si="32"/>
        <v>0</v>
      </c>
      <c r="S133" s="67" t="e">
        <f t="shared" ca="1" si="33"/>
        <v>#VALUE!</v>
      </c>
      <c r="T133" s="67" t="e">
        <f t="shared" ca="1" si="34"/>
        <v>#VALUE!</v>
      </c>
      <c r="U133" s="67" t="e">
        <f t="shared" ca="1" si="44"/>
        <v>#VALUE!</v>
      </c>
      <c r="V133" s="72" t="e">
        <f t="shared" ca="1" si="45"/>
        <v>#VALUE!</v>
      </c>
      <c r="W133" s="73" t="e">
        <f t="shared" ca="1" si="28"/>
        <v>#VALUE!</v>
      </c>
      <c r="X133" s="67"/>
    </row>
    <row r="134" spans="1:24" x14ac:dyDescent="0.35">
      <c r="A134" s="68" t="str">
        <f t="shared" si="30"/>
        <v/>
      </c>
      <c r="B134" s="64" t="str">
        <f t="shared" si="41"/>
        <v/>
      </c>
      <c r="C134" s="64" t="str">
        <f t="shared" ca="1" si="31"/>
        <v xml:space="preserve"> </v>
      </c>
      <c r="D134" s="68" t="str">
        <f t="shared" si="39"/>
        <v/>
      </c>
      <c r="E134" s="65" t="str">
        <f t="shared" si="40"/>
        <v/>
      </c>
      <c r="F134" s="65" t="str">
        <f>IF(AND(A133="",A135=""),"",IF(A134="",ROUND(SUM($F$25:F133),2),IF(A134=$D$8,$E$24-ROUND(SUM($F$25:F133),2),ROUND($E$24/$D$8,2))))</f>
        <v/>
      </c>
      <c r="G134" s="65" t="str">
        <f>IF(A133=$D$8,ROUND(SUM($G$25:G133),2),IF(A134&gt;$D$8,"",IF(T134&lt;&gt;T133,ROUND(SUM(V134*$D$9*E133/T134,W134*$D$9*E133/T133),2),ROUND(E133*$D$9*D134/T133,2))))</f>
        <v/>
      </c>
      <c r="H134" s="65" t="str">
        <f>IF(A133=$D$8,SUM($H$25:H133),IF(A133&gt;$D$8,"",F134+G134))</f>
        <v/>
      </c>
      <c r="I134" s="74" t="str">
        <f t="shared" si="42"/>
        <v/>
      </c>
      <c r="J134" s="74" t="str">
        <f t="shared" ref="J134:J144" si="48">IF(A133=$D$8,$J$24,"")</f>
        <v/>
      </c>
      <c r="K134" s="74"/>
      <c r="L134" s="74" t="str">
        <f t="shared" si="43"/>
        <v/>
      </c>
      <c r="M134" s="65" t="str">
        <f t="shared" si="36"/>
        <v/>
      </c>
      <c r="N134" s="65" t="str">
        <f t="shared" si="37"/>
        <v/>
      </c>
      <c r="O134" s="67"/>
      <c r="P134" s="70" t="str">
        <f>IF(A133=$D$8,XIRR(H$24:H133,C$24:C133),"")</f>
        <v/>
      </c>
      <c r="Q134" s="74" t="str">
        <f t="shared" si="35"/>
        <v/>
      </c>
      <c r="R134" s="65">
        <f t="shared" si="32"/>
        <v>0</v>
      </c>
      <c r="S134" s="67" t="e">
        <f t="shared" ca="1" si="33"/>
        <v>#VALUE!</v>
      </c>
      <c r="T134" s="67" t="e">
        <f t="shared" ca="1" si="34"/>
        <v>#VALUE!</v>
      </c>
      <c r="U134" s="67" t="e">
        <f t="shared" ca="1" si="44"/>
        <v>#VALUE!</v>
      </c>
      <c r="V134" s="72" t="e">
        <f t="shared" ca="1" si="45"/>
        <v>#VALUE!</v>
      </c>
      <c r="W134" s="73" t="e">
        <f t="shared" ca="1" si="28"/>
        <v>#VALUE!</v>
      </c>
      <c r="X134" s="67"/>
    </row>
    <row r="135" spans="1:24" x14ac:dyDescent="0.35">
      <c r="A135" s="68" t="str">
        <f t="shared" si="30"/>
        <v/>
      </c>
      <c r="B135" s="64" t="str">
        <f t="shared" si="41"/>
        <v/>
      </c>
      <c r="C135" s="64" t="str">
        <f t="shared" ca="1" si="31"/>
        <v xml:space="preserve"> </v>
      </c>
      <c r="D135" s="68" t="str">
        <f t="shared" si="39"/>
        <v/>
      </c>
      <c r="E135" s="65" t="str">
        <f t="shared" si="40"/>
        <v/>
      </c>
      <c r="F135" s="65" t="str">
        <f>IF(AND(A134="",A136=""),"",IF(A135="",ROUND(SUM($F$25:F134),2),IF(A135=$D$8,$E$24-ROUND(SUM($F$25:F134),2),ROUND($E$24/$D$8,2))))</f>
        <v/>
      </c>
      <c r="G135" s="65" t="str">
        <f>IF(A134=$D$8,ROUND(SUM($G$25:G134),2),IF(A135&gt;$D$8,"",IF(T135&lt;&gt;T134,ROUND(SUM(V135*$D$9*E134/T135,W135*$D$9*E134/T134),2),ROUND(E134*$D$9*D135/T134,2))))</f>
        <v/>
      </c>
      <c r="H135" s="65" t="str">
        <f>IF(A134=$D$8,SUM($H$25:H134),IF(A134&gt;$D$8,"",F135+G135))</f>
        <v/>
      </c>
      <c r="I135" s="74" t="str">
        <f t="shared" si="42"/>
        <v/>
      </c>
      <c r="J135" s="74" t="str">
        <f t="shared" si="48"/>
        <v/>
      </c>
      <c r="K135" s="74"/>
      <c r="L135" s="74" t="str">
        <f t="shared" si="43"/>
        <v/>
      </c>
      <c r="M135" s="65" t="str">
        <f t="shared" si="36"/>
        <v/>
      </c>
      <c r="N135" s="65" t="str">
        <f t="shared" si="37"/>
        <v/>
      </c>
      <c r="O135" s="67"/>
      <c r="P135" s="70" t="str">
        <f>IF(A134=$D$8,XIRR(H$24:H134,C$24:C134),"")</f>
        <v/>
      </c>
      <c r="Q135" s="74" t="str">
        <f t="shared" si="35"/>
        <v/>
      </c>
      <c r="R135" s="65">
        <f t="shared" si="32"/>
        <v>0</v>
      </c>
      <c r="S135" s="67" t="e">
        <f t="shared" ca="1" si="33"/>
        <v>#VALUE!</v>
      </c>
      <c r="T135" s="67" t="e">
        <f t="shared" ca="1" si="34"/>
        <v>#VALUE!</v>
      </c>
      <c r="U135" s="67" t="e">
        <f t="shared" ca="1" si="44"/>
        <v>#VALUE!</v>
      </c>
      <c r="V135" s="72" t="e">
        <f t="shared" ca="1" si="45"/>
        <v>#VALUE!</v>
      </c>
      <c r="W135" s="73" t="e">
        <f t="shared" ca="1" si="28"/>
        <v>#VALUE!</v>
      </c>
      <c r="X135" s="67"/>
    </row>
    <row r="136" spans="1:24" x14ac:dyDescent="0.35">
      <c r="A136" s="68" t="str">
        <f t="shared" si="30"/>
        <v/>
      </c>
      <c r="B136" s="64" t="str">
        <f t="shared" si="41"/>
        <v/>
      </c>
      <c r="C136" s="64" t="str">
        <f t="shared" ca="1" si="31"/>
        <v xml:space="preserve"> </v>
      </c>
      <c r="D136" s="68" t="str">
        <f t="shared" si="39"/>
        <v/>
      </c>
      <c r="E136" s="65" t="str">
        <f t="shared" si="40"/>
        <v/>
      </c>
      <c r="F136" s="65" t="str">
        <f>IF(AND(A135="",A137=""),"",IF(A136="",ROUND(SUM($F$25:F135),2),IF(A136=$D$8,$E$24-ROUND(SUM($F$25:F135),2),ROUND($E$24/$D$8,2))))</f>
        <v/>
      </c>
      <c r="G136" s="65" t="str">
        <f>IF(A135=$D$8,ROUND(SUM($G$25:G135),2),IF(A136&gt;$D$8,"",IF(T136&lt;&gt;T135,ROUND(SUM(V136*$D$9*E135/T136,W136*$D$9*E135/T135),2),ROUND(E135*$D$9*D136/T135,2))))</f>
        <v/>
      </c>
      <c r="H136" s="65" t="str">
        <f>IF(A135=$D$8,SUM($H$25:H135),IF(A135&gt;$D$8,"",F136+G136))</f>
        <v/>
      </c>
      <c r="I136" s="74" t="str">
        <f t="shared" si="42"/>
        <v/>
      </c>
      <c r="J136" s="74" t="str">
        <f t="shared" si="48"/>
        <v/>
      </c>
      <c r="K136" s="74"/>
      <c r="L136" s="74" t="str">
        <f t="shared" si="43"/>
        <v/>
      </c>
      <c r="M136" s="65" t="str">
        <f t="shared" si="36"/>
        <v/>
      </c>
      <c r="N136" s="65" t="str">
        <f t="shared" si="37"/>
        <v/>
      </c>
      <c r="O136" s="67"/>
      <c r="P136" s="70" t="str">
        <f>IF(A135=$D$8,XIRR(H$24:H135,C$24:C135),"")</f>
        <v/>
      </c>
      <c r="Q136" s="74" t="str">
        <f t="shared" si="35"/>
        <v/>
      </c>
      <c r="R136" s="65">
        <f t="shared" si="32"/>
        <v>0</v>
      </c>
      <c r="S136" s="67" t="e">
        <f t="shared" ca="1" si="33"/>
        <v>#VALUE!</v>
      </c>
      <c r="T136" s="67" t="e">
        <f t="shared" ca="1" si="34"/>
        <v>#VALUE!</v>
      </c>
      <c r="U136" s="67" t="e">
        <f t="shared" ca="1" si="44"/>
        <v>#VALUE!</v>
      </c>
      <c r="V136" s="72" t="e">
        <f t="shared" ca="1" si="45"/>
        <v>#VALUE!</v>
      </c>
      <c r="W136" s="73" t="e">
        <f t="shared" ca="1" si="28"/>
        <v>#VALUE!</v>
      </c>
      <c r="X136" s="67"/>
    </row>
    <row r="137" spans="1:24" x14ac:dyDescent="0.35">
      <c r="A137" s="68" t="str">
        <f t="shared" si="30"/>
        <v/>
      </c>
      <c r="B137" s="64" t="str">
        <f t="shared" si="41"/>
        <v/>
      </c>
      <c r="C137" s="64" t="str">
        <f t="shared" ca="1" si="31"/>
        <v xml:space="preserve"> </v>
      </c>
      <c r="D137" s="68" t="str">
        <f t="shared" si="39"/>
        <v/>
      </c>
      <c r="E137" s="65" t="str">
        <f t="shared" si="40"/>
        <v/>
      </c>
      <c r="F137" s="65" t="str">
        <f>IF(AND(A136="",A138=""),"",IF(A137="",ROUND(SUM($F$25:F136),2),IF(A137=$D$8,$E$24-ROUND(SUM($F$25:F136),2),ROUND($E$24/$D$8,2))))</f>
        <v/>
      </c>
      <c r="G137" s="65" t="str">
        <f>IF(A136=$D$8,ROUND(SUM($G$25:G136),2),IF(A137&gt;$D$8,"",IF(T137&lt;&gt;T136,ROUND(SUM(V137*$D$9*E136/T137,W137*$D$9*E136/T136),2),ROUND(E136*$D$9*D137/T136,2))))</f>
        <v/>
      </c>
      <c r="H137" s="65" t="str">
        <f>IF(A136=$D$8,SUM($H$25:H136),IF(A136&gt;$D$8,"",F137+G137))</f>
        <v/>
      </c>
      <c r="I137" s="74" t="str">
        <f t="shared" si="42"/>
        <v/>
      </c>
      <c r="J137" s="74" t="str">
        <f t="shared" si="48"/>
        <v/>
      </c>
      <c r="K137" s="74"/>
      <c r="L137" s="74" t="str">
        <f t="shared" si="43"/>
        <v/>
      </c>
      <c r="M137" s="65" t="str">
        <f t="shared" si="36"/>
        <v/>
      </c>
      <c r="N137" s="65" t="str">
        <f t="shared" si="37"/>
        <v/>
      </c>
      <c r="O137" s="67"/>
      <c r="P137" s="70" t="str">
        <f>IF(A136=$D$8,XIRR(H$24:H136,C$24:C136),"")</f>
        <v/>
      </c>
      <c r="Q137" s="74" t="str">
        <f t="shared" si="35"/>
        <v/>
      </c>
      <c r="R137" s="65">
        <f t="shared" si="32"/>
        <v>0</v>
      </c>
      <c r="S137" s="67" t="e">
        <f t="shared" ca="1" si="33"/>
        <v>#VALUE!</v>
      </c>
      <c r="T137" s="67" t="e">
        <f t="shared" ca="1" si="34"/>
        <v>#VALUE!</v>
      </c>
      <c r="U137" s="67" t="e">
        <f t="shared" ca="1" si="44"/>
        <v>#VALUE!</v>
      </c>
      <c r="V137" s="72" t="e">
        <f t="shared" ca="1" si="45"/>
        <v>#VALUE!</v>
      </c>
      <c r="W137" s="73" t="e">
        <f t="shared" ca="1" si="28"/>
        <v>#VALUE!</v>
      </c>
      <c r="X137" s="67"/>
    </row>
    <row r="138" spans="1:24" x14ac:dyDescent="0.35">
      <c r="A138" s="68" t="str">
        <f t="shared" si="30"/>
        <v/>
      </c>
      <c r="B138" s="64" t="str">
        <f t="shared" si="41"/>
        <v/>
      </c>
      <c r="C138" s="64" t="str">
        <f t="shared" ca="1" si="31"/>
        <v xml:space="preserve"> </v>
      </c>
      <c r="D138" s="68" t="str">
        <f t="shared" si="39"/>
        <v/>
      </c>
      <c r="E138" s="65" t="str">
        <f t="shared" si="40"/>
        <v/>
      </c>
      <c r="F138" s="65" t="str">
        <f>IF(AND(A137="",A139=""),"",IF(A138="",ROUND(SUM($F$25:F137),2),IF(A138=$D$8,$E$24-ROUND(SUM($F$25:F137),2),ROUND($E$24/$D$8,2))))</f>
        <v/>
      </c>
      <c r="G138" s="65" t="str">
        <f>IF(A137=$D$8,ROUND(SUM($G$25:G137),2),IF(A138&gt;$D$8,"",IF(T138&lt;&gt;T137,ROUND(SUM(V138*$D$9*E137/T138,W138*$D$9*E137/T137),2),ROUND(E137*$D$9*D138/T137,2))))</f>
        <v/>
      </c>
      <c r="H138" s="65" t="str">
        <f>IF(A137=$D$8,SUM($H$25:H137),IF(A137&gt;$D$8,"",F138+G138))</f>
        <v/>
      </c>
      <c r="I138" s="74" t="str">
        <f t="shared" si="42"/>
        <v/>
      </c>
      <c r="J138" s="74" t="str">
        <f t="shared" si="48"/>
        <v/>
      </c>
      <c r="K138" s="74"/>
      <c r="L138" s="74" t="str">
        <f t="shared" si="43"/>
        <v/>
      </c>
      <c r="M138" s="65" t="str">
        <f t="shared" si="36"/>
        <v/>
      </c>
      <c r="N138" s="65" t="str">
        <f t="shared" si="37"/>
        <v/>
      </c>
      <c r="O138" s="67"/>
      <c r="P138" s="70" t="str">
        <f>IF(A137=$D$8,XIRR(H$24:H137,C$24:C137),"")</f>
        <v/>
      </c>
      <c r="Q138" s="74" t="str">
        <f t="shared" si="35"/>
        <v/>
      </c>
      <c r="R138" s="65">
        <f t="shared" si="32"/>
        <v>0</v>
      </c>
      <c r="S138" s="67" t="e">
        <f t="shared" ca="1" si="33"/>
        <v>#VALUE!</v>
      </c>
      <c r="T138" s="67" t="e">
        <f t="shared" ca="1" si="34"/>
        <v>#VALUE!</v>
      </c>
      <c r="U138" s="67" t="e">
        <f t="shared" ca="1" si="44"/>
        <v>#VALUE!</v>
      </c>
      <c r="V138" s="72" t="e">
        <f t="shared" ca="1" si="45"/>
        <v>#VALUE!</v>
      </c>
      <c r="W138" s="73" t="e">
        <f t="shared" ca="1" si="28"/>
        <v>#VALUE!</v>
      </c>
      <c r="X138" s="67"/>
    </row>
    <row r="139" spans="1:24" x14ac:dyDescent="0.35">
      <c r="A139" s="68" t="str">
        <f t="shared" si="30"/>
        <v/>
      </c>
      <c r="B139" s="64" t="str">
        <f t="shared" si="41"/>
        <v/>
      </c>
      <c r="C139" s="64" t="str">
        <f t="shared" ca="1" si="31"/>
        <v xml:space="preserve"> </v>
      </c>
      <c r="D139" s="68" t="str">
        <f t="shared" si="39"/>
        <v/>
      </c>
      <c r="E139" s="65" t="str">
        <f t="shared" si="40"/>
        <v/>
      </c>
      <c r="F139" s="65" t="str">
        <f>IF(AND(A138="",A140=""),"",IF(A139="",ROUND(SUM($F$25:F138),2),IF(A139=$D$8,$E$24-ROUND(SUM($F$25:F138),2),ROUND($E$24/$D$8,2))))</f>
        <v/>
      </c>
      <c r="G139" s="65" t="str">
        <f>IF(A138=$D$8,ROUND(SUM($G$25:G138),2),IF(A139&gt;$D$8,"",IF(T139&lt;&gt;T138,ROUND(SUM(V139*$D$9*E138/T139,W139*$D$9*E138/T138),2),ROUND(E138*$D$9*D139/T138,2))))</f>
        <v/>
      </c>
      <c r="H139" s="65" t="str">
        <f>IF(A138=$D$8,SUM($H$25:H138),IF(A138&gt;$D$8,"",F139+G139))</f>
        <v/>
      </c>
      <c r="I139" s="74" t="str">
        <f t="shared" si="42"/>
        <v/>
      </c>
      <c r="J139" s="74" t="str">
        <f t="shared" si="48"/>
        <v/>
      </c>
      <c r="K139" s="74"/>
      <c r="L139" s="74" t="str">
        <f t="shared" si="43"/>
        <v/>
      </c>
      <c r="M139" s="65" t="str">
        <f t="shared" si="36"/>
        <v/>
      </c>
      <c r="N139" s="65" t="str">
        <f t="shared" si="37"/>
        <v/>
      </c>
      <c r="O139" s="67"/>
      <c r="P139" s="70" t="str">
        <f>IF(A138=$D$8,XIRR(H$24:H138,C$24:C138),"")</f>
        <v/>
      </c>
      <c r="Q139" s="74" t="str">
        <f t="shared" si="35"/>
        <v/>
      </c>
      <c r="R139" s="65">
        <f t="shared" si="32"/>
        <v>0</v>
      </c>
      <c r="S139" s="67" t="e">
        <f t="shared" ca="1" si="33"/>
        <v>#VALUE!</v>
      </c>
      <c r="T139" s="67" t="e">
        <f t="shared" ca="1" si="34"/>
        <v>#VALUE!</v>
      </c>
      <c r="U139" s="67" t="e">
        <f t="shared" ca="1" si="44"/>
        <v>#VALUE!</v>
      </c>
      <c r="V139" s="72" t="e">
        <f t="shared" ca="1" si="45"/>
        <v>#VALUE!</v>
      </c>
      <c r="W139" s="73" t="e">
        <f t="shared" ca="1" si="28"/>
        <v>#VALUE!</v>
      </c>
      <c r="X139" s="67"/>
    </row>
    <row r="140" spans="1:24" x14ac:dyDescent="0.35">
      <c r="A140" s="68" t="str">
        <f t="shared" si="30"/>
        <v/>
      </c>
      <c r="B140" s="64" t="str">
        <f t="shared" si="41"/>
        <v/>
      </c>
      <c r="C140" s="64" t="str">
        <f t="shared" ca="1" si="31"/>
        <v xml:space="preserve"> </v>
      </c>
      <c r="D140" s="68" t="str">
        <f t="shared" si="39"/>
        <v/>
      </c>
      <c r="E140" s="65" t="str">
        <f t="shared" si="40"/>
        <v/>
      </c>
      <c r="F140" s="65" t="str">
        <f>IF(AND(A139="",A141=""),"",IF(A140="",ROUND(SUM($F$25:F139),2),IF(A140=$D$8,$E$24-ROUND(SUM($F$25:F139),2),ROUND($E$24/$D$8,2))))</f>
        <v/>
      </c>
      <c r="G140" s="65" t="str">
        <f>IF(A139=$D$8,ROUND(SUM($G$25:G139),2),IF(A140&gt;$D$8,"",IF(T140&lt;&gt;T139,ROUND(SUM(V140*$D$9*E139/T140,W140*$D$9*E139/T139),2),ROUND(E139*$D$9*D140/T139,2))))</f>
        <v/>
      </c>
      <c r="H140" s="65" t="str">
        <f>IF(A139=$D$8,SUM($H$25:H139),IF(A139&gt;$D$8,"",F140+G140))</f>
        <v/>
      </c>
      <c r="I140" s="74" t="str">
        <f t="shared" si="42"/>
        <v/>
      </c>
      <c r="J140" s="74" t="str">
        <f t="shared" si="48"/>
        <v/>
      </c>
      <c r="K140" s="74"/>
      <c r="L140" s="74" t="str">
        <f t="shared" si="43"/>
        <v/>
      </c>
      <c r="M140" s="65" t="str">
        <f t="shared" si="36"/>
        <v/>
      </c>
      <c r="N140" s="65" t="str">
        <f t="shared" si="37"/>
        <v/>
      </c>
      <c r="O140" s="67"/>
      <c r="P140" s="70" t="str">
        <f>IF(A139=$D$8,XIRR(H$24:H139,C$24:C139),"")</f>
        <v/>
      </c>
      <c r="Q140" s="74" t="str">
        <f t="shared" si="35"/>
        <v/>
      </c>
      <c r="R140" s="65">
        <f t="shared" si="32"/>
        <v>0</v>
      </c>
      <c r="S140" s="67" t="e">
        <f t="shared" ca="1" si="33"/>
        <v>#VALUE!</v>
      </c>
      <c r="T140" s="67" t="e">
        <f t="shared" ca="1" si="34"/>
        <v>#VALUE!</v>
      </c>
      <c r="U140" s="67" t="e">
        <f t="shared" ca="1" si="44"/>
        <v>#VALUE!</v>
      </c>
      <c r="V140" s="72" t="e">
        <f t="shared" ca="1" si="45"/>
        <v>#VALUE!</v>
      </c>
      <c r="W140" s="73" t="e">
        <f t="shared" ca="1" si="28"/>
        <v>#VALUE!</v>
      </c>
      <c r="X140" s="67"/>
    </row>
    <row r="141" spans="1:24" x14ac:dyDescent="0.35">
      <c r="A141" s="68" t="str">
        <f t="shared" si="30"/>
        <v/>
      </c>
      <c r="B141" s="64" t="str">
        <f t="shared" si="41"/>
        <v/>
      </c>
      <c r="C141" s="64" t="str">
        <f t="shared" ca="1" si="31"/>
        <v xml:space="preserve"> </v>
      </c>
      <c r="D141" s="68" t="str">
        <f t="shared" si="39"/>
        <v/>
      </c>
      <c r="E141" s="65" t="str">
        <f t="shared" si="40"/>
        <v/>
      </c>
      <c r="F141" s="65" t="str">
        <f>IF(AND(A140="",A142=""),"",IF(A141="",ROUND(SUM($F$25:F140),2),IF(A141=$D$8,$E$24-ROUND(SUM($F$25:F140),2),ROUND($E$24/$D$8,2))))</f>
        <v/>
      </c>
      <c r="G141" s="65" t="str">
        <f>IF(A140=$D$8,ROUND(SUM($G$25:G140),2),IF(A141&gt;$D$8,"",IF(T141&lt;&gt;T140,ROUND(SUM(V141*$D$9*E140/T141,W141*$D$9*E140/T140),2),ROUND(E140*$D$9*D141/T140,2))))</f>
        <v/>
      </c>
      <c r="H141" s="65" t="str">
        <f>IF(A140=$D$8,SUM($H$25:H140),IF(A140&gt;$D$8,"",F141+G141))</f>
        <v/>
      </c>
      <c r="I141" s="74" t="str">
        <f t="shared" si="42"/>
        <v/>
      </c>
      <c r="J141" s="74" t="str">
        <f t="shared" si="48"/>
        <v/>
      </c>
      <c r="K141" s="74"/>
      <c r="L141" s="74" t="str">
        <f t="shared" si="43"/>
        <v/>
      </c>
      <c r="M141" s="65" t="str">
        <f t="shared" si="36"/>
        <v/>
      </c>
      <c r="N141" s="65" t="str">
        <f t="shared" si="37"/>
        <v/>
      </c>
      <c r="O141" s="67"/>
      <c r="P141" s="70" t="str">
        <f>IF(A140=$D$8,XIRR(H$24:H140,C$24:C140),"")</f>
        <v/>
      </c>
      <c r="Q141" s="74" t="str">
        <f t="shared" si="35"/>
        <v/>
      </c>
      <c r="R141" s="65">
        <f t="shared" si="32"/>
        <v>0</v>
      </c>
      <c r="S141" s="67" t="e">
        <f t="shared" ca="1" si="33"/>
        <v>#VALUE!</v>
      </c>
      <c r="T141" s="67" t="e">
        <f t="shared" ca="1" si="34"/>
        <v>#VALUE!</v>
      </c>
      <c r="U141" s="67" t="e">
        <f t="shared" ca="1" si="44"/>
        <v>#VALUE!</v>
      </c>
      <c r="V141" s="72" t="e">
        <f t="shared" ca="1" si="45"/>
        <v>#VALUE!</v>
      </c>
      <c r="W141" s="73" t="e">
        <f t="shared" ca="1" si="28"/>
        <v>#VALUE!</v>
      </c>
      <c r="X141" s="67"/>
    </row>
    <row r="142" spans="1:24" x14ac:dyDescent="0.35">
      <c r="A142" s="68" t="str">
        <f t="shared" si="30"/>
        <v/>
      </c>
      <c r="B142" s="64" t="str">
        <f t="shared" si="41"/>
        <v/>
      </c>
      <c r="C142" s="64" t="str">
        <f t="shared" ca="1" si="31"/>
        <v xml:space="preserve"> </v>
      </c>
      <c r="D142" s="68" t="str">
        <f t="shared" si="39"/>
        <v/>
      </c>
      <c r="E142" s="65" t="str">
        <f t="shared" si="40"/>
        <v/>
      </c>
      <c r="F142" s="65" t="str">
        <f>IF(AND(A141="",A143=""),"",IF(A142="",ROUND(SUM($F$25:F141),2),IF(A142=$D$8,$E$24-ROUND(SUM($F$25:F141),2),ROUND($E$24/$D$8,2))))</f>
        <v/>
      </c>
      <c r="G142" s="65" t="str">
        <f>IF(A141=$D$8,ROUND(SUM($G$25:G141),2),IF(A142&gt;$D$8,"",IF(T142&lt;&gt;T141,ROUND(SUM(V142*$D$9*E141/T142,W142*$D$9*E141/T141),2),ROUND(E141*$D$9*D142/T141,2))))</f>
        <v/>
      </c>
      <c r="H142" s="65" t="str">
        <f>IF(A141=$D$8,SUM($H$25:H141),IF(A141&gt;$D$8,"",F142+G142))</f>
        <v/>
      </c>
      <c r="I142" s="74" t="str">
        <f t="shared" si="42"/>
        <v/>
      </c>
      <c r="J142" s="74" t="str">
        <f t="shared" si="48"/>
        <v/>
      </c>
      <c r="K142" s="74"/>
      <c r="L142" s="74" t="str">
        <f t="shared" si="43"/>
        <v/>
      </c>
      <c r="M142" s="65" t="str">
        <f t="shared" si="36"/>
        <v/>
      </c>
      <c r="N142" s="65" t="str">
        <f t="shared" si="37"/>
        <v/>
      </c>
      <c r="O142" s="67"/>
      <c r="P142" s="70" t="str">
        <f>IF(A141=$D$8,XIRR(H$24:H141,C$24:C141),"")</f>
        <v/>
      </c>
      <c r="Q142" s="74" t="str">
        <f t="shared" si="35"/>
        <v/>
      </c>
      <c r="R142" s="65">
        <f t="shared" si="32"/>
        <v>0</v>
      </c>
      <c r="S142" s="67" t="e">
        <f t="shared" ca="1" si="33"/>
        <v>#VALUE!</v>
      </c>
      <c r="T142" s="67" t="e">
        <f t="shared" ca="1" si="34"/>
        <v>#VALUE!</v>
      </c>
      <c r="U142" s="67" t="e">
        <f t="shared" ca="1" si="44"/>
        <v>#VALUE!</v>
      </c>
      <c r="V142" s="72" t="e">
        <f t="shared" ca="1" si="45"/>
        <v>#VALUE!</v>
      </c>
      <c r="W142" s="73" t="e">
        <f t="shared" ca="1" si="28"/>
        <v>#VALUE!</v>
      </c>
      <c r="X142" s="67"/>
    </row>
    <row r="143" spans="1:24" x14ac:dyDescent="0.35">
      <c r="A143" s="68" t="str">
        <f t="shared" si="30"/>
        <v/>
      </c>
      <c r="B143" s="64" t="str">
        <f t="shared" si="41"/>
        <v/>
      </c>
      <c r="C143" s="64" t="str">
        <f t="shared" ca="1" si="31"/>
        <v xml:space="preserve"> </v>
      </c>
      <c r="D143" s="68" t="str">
        <f t="shared" si="39"/>
        <v/>
      </c>
      <c r="E143" s="65" t="str">
        <f t="shared" si="40"/>
        <v/>
      </c>
      <c r="F143" s="65" t="str">
        <f>IF(AND(A142="",A144=""),"",IF(A143="",ROUND(SUM($F$25:F142),2),IF(A143=$D$8,$E$24-ROUND(SUM($F$25:F142),2),ROUND($E$24/$D$8,2))))</f>
        <v/>
      </c>
      <c r="G143" s="65" t="str">
        <f>IF(A142=$D$8,ROUND(SUM($G$25:G142),2),IF(A143&gt;$D$8,"",IF(T143&lt;&gt;T142,ROUND(SUM(V143*$D$9*E142/T143,W143*$D$9*E142/T142),2),ROUND(E142*$D$9*D143/T142,2))))</f>
        <v/>
      </c>
      <c r="H143" s="65" t="str">
        <f>IF(A142=$D$8,SUM($H$25:H142),IF(A142&gt;$D$8,"",F143+G143))</f>
        <v/>
      </c>
      <c r="I143" s="74" t="str">
        <f t="shared" si="42"/>
        <v/>
      </c>
      <c r="J143" s="74" t="str">
        <f t="shared" si="48"/>
        <v/>
      </c>
      <c r="K143" s="74"/>
      <c r="L143" s="74" t="str">
        <f t="shared" si="43"/>
        <v/>
      </c>
      <c r="M143" s="65" t="str">
        <f t="shared" si="36"/>
        <v/>
      </c>
      <c r="N143" s="65" t="str">
        <f t="shared" si="37"/>
        <v/>
      </c>
      <c r="O143" s="67"/>
      <c r="P143" s="70" t="str">
        <f>IF(A142=$D$8,XIRR(H$24:H142,C$24:C142),"")</f>
        <v/>
      </c>
      <c r="Q143" s="74" t="str">
        <f t="shared" si="35"/>
        <v/>
      </c>
      <c r="R143" s="65">
        <f t="shared" si="32"/>
        <v>0</v>
      </c>
      <c r="S143" s="67" t="e">
        <f t="shared" ca="1" si="33"/>
        <v>#VALUE!</v>
      </c>
      <c r="T143" s="67" t="e">
        <f t="shared" ca="1" si="34"/>
        <v>#VALUE!</v>
      </c>
      <c r="U143" s="67" t="e">
        <f t="shared" ca="1" si="44"/>
        <v>#VALUE!</v>
      </c>
      <c r="V143" s="72" t="e">
        <f t="shared" ca="1" si="45"/>
        <v>#VALUE!</v>
      </c>
      <c r="W143" s="73" t="e">
        <f t="shared" ca="1" si="28"/>
        <v>#VALUE!</v>
      </c>
      <c r="X143" s="67"/>
    </row>
    <row r="144" spans="1:24" x14ac:dyDescent="0.35">
      <c r="A144" s="68" t="str">
        <f t="shared" si="30"/>
        <v/>
      </c>
      <c r="B144" s="64" t="str">
        <f t="shared" si="41"/>
        <v/>
      </c>
      <c r="C144" s="64" t="str">
        <f t="shared" ca="1" si="31"/>
        <v xml:space="preserve"> </v>
      </c>
      <c r="D144" s="68" t="str">
        <f t="shared" si="39"/>
        <v/>
      </c>
      <c r="E144" s="65" t="str">
        <f t="shared" si="40"/>
        <v/>
      </c>
      <c r="F144" s="65" t="str">
        <f>IF(AND(A143="",A145=""),"",IF(A144="",ROUND(SUM($F$25:F143),2),IF(A144=$D$8,$E$24-ROUND(SUM($F$25:F143),2),ROUND($E$24/$D$8,2))))</f>
        <v/>
      </c>
      <c r="G144" s="65" t="str">
        <f>IF(A143=$D$8,ROUND(SUM($G$25:G143),2),IF(A144&gt;$D$8,"",IF(T144&lt;&gt;T143,ROUND(SUM(V144*$D$9*E143/T144,W144*$D$9*E143/T143),2),ROUND(E143*$D$9*D144/T143,2))))</f>
        <v/>
      </c>
      <c r="H144" s="65" t="str">
        <f>IF(A143=$D$8,SUM($H$25:H143),IF(A143&gt;$D$8,"",F144+G144))</f>
        <v/>
      </c>
      <c r="I144" s="74" t="str">
        <f t="shared" si="42"/>
        <v/>
      </c>
      <c r="J144" s="74" t="str">
        <f t="shared" si="48"/>
        <v/>
      </c>
      <c r="K144" s="74"/>
      <c r="L144" s="74" t="str">
        <f t="shared" si="43"/>
        <v/>
      </c>
      <c r="M144" s="65" t="str">
        <f t="shared" si="36"/>
        <v/>
      </c>
      <c r="N144" s="65" t="str">
        <f t="shared" si="37"/>
        <v/>
      </c>
      <c r="O144" s="67"/>
      <c r="P144" s="70" t="str">
        <f>IF(A143=$D$8,XIRR(H$24:H143,C$24:C143),"")</f>
        <v/>
      </c>
      <c r="Q144" s="74" t="str">
        <f t="shared" si="35"/>
        <v/>
      </c>
      <c r="R144" s="65">
        <f t="shared" si="32"/>
        <v>0</v>
      </c>
      <c r="S144" s="67" t="e">
        <f t="shared" ca="1" si="33"/>
        <v>#VALUE!</v>
      </c>
      <c r="T144" s="67" t="e">
        <f t="shared" ca="1" si="34"/>
        <v>#VALUE!</v>
      </c>
      <c r="U144" s="67" t="e">
        <f t="shared" ca="1" si="44"/>
        <v>#VALUE!</v>
      </c>
      <c r="V144" s="72" t="e">
        <f t="shared" ca="1" si="45"/>
        <v>#VALUE!</v>
      </c>
      <c r="W144" s="73" t="e">
        <f t="shared" ca="1" si="28"/>
        <v>#VALUE!</v>
      </c>
      <c r="X144" s="67"/>
    </row>
    <row r="145" spans="1:24" x14ac:dyDescent="0.35">
      <c r="A145" s="68" t="str">
        <f t="shared" si="30"/>
        <v/>
      </c>
      <c r="B145" s="64" t="str">
        <f t="shared" si="41"/>
        <v/>
      </c>
      <c r="C145" s="64" t="str">
        <f t="shared" ca="1" si="31"/>
        <v xml:space="preserve"> </v>
      </c>
      <c r="D145" s="68" t="str">
        <f t="shared" si="39"/>
        <v/>
      </c>
      <c r="E145" s="65" t="str">
        <f t="shared" si="40"/>
        <v/>
      </c>
      <c r="F145" s="65" t="str">
        <f>IF(AND(A144="",A146=""),"",IF(A145="",ROUND(SUM($F$25:F144),2),IF(A145=$D$8,$E$24-ROUND(SUM($F$25:F144),2),ROUND($E$24/$D$8,2))))</f>
        <v/>
      </c>
      <c r="G145" s="65" t="str">
        <f>IF(A144=$D$8,ROUND(SUM($G$25:G144),2),IF(A145&gt;$D$8,"",IF(T145&lt;&gt;T144,ROUND(SUM(V145*$D$9*E144/T145,W145*$D$9*E144/T144),2),ROUND(E144*$D$9*D145/T144,2))))</f>
        <v/>
      </c>
      <c r="H145" s="65" t="str">
        <f>IF(A144=$D$8,SUM($H$25:H144),IF(A144&gt;$D$8,"",F145+G145))</f>
        <v/>
      </c>
      <c r="I145" s="74" t="str">
        <f t="shared" si="42"/>
        <v/>
      </c>
      <c r="J145" s="74" t="str">
        <f>IF($D$8&gt;A144,$N$9,IF($D$8=A144,SUM($J$24:J144)," "))</f>
        <v xml:space="preserve"> </v>
      </c>
      <c r="K145" s="74" t="str">
        <f>IF($D$8&gt;A144,($O$8+$N$10*E144),IF(A144=$D$8,$K$37+$K$24+$K$49+$K$61+$K$73+$K$85+$K$97+$K$109+$K$121+$K$133,""))</f>
        <v/>
      </c>
      <c r="L145" s="74" t="str">
        <f t="shared" si="43"/>
        <v/>
      </c>
      <c r="M145" s="65" t="str">
        <f t="shared" si="36"/>
        <v/>
      </c>
      <c r="N145" s="65" t="str">
        <f t="shared" si="37"/>
        <v/>
      </c>
      <c r="O145" s="67"/>
      <c r="P145" s="70" t="str">
        <f>IF(A144=$D$8,XIRR(H$24:H144,C$24:C144),"")</f>
        <v/>
      </c>
      <c r="Q145" s="74" t="str">
        <f t="shared" si="35"/>
        <v/>
      </c>
      <c r="R145" s="65">
        <f t="shared" si="32"/>
        <v>0</v>
      </c>
      <c r="S145" s="67" t="e">
        <f t="shared" ca="1" si="33"/>
        <v>#VALUE!</v>
      </c>
      <c r="T145" s="67" t="e">
        <f t="shared" ca="1" si="34"/>
        <v>#VALUE!</v>
      </c>
      <c r="U145" s="67" t="e">
        <f t="shared" ca="1" si="44"/>
        <v>#VALUE!</v>
      </c>
      <c r="V145" s="72" t="e">
        <f t="shared" ca="1" si="45"/>
        <v>#VALUE!</v>
      </c>
      <c r="W145" s="73" t="e">
        <f t="shared" ca="1" si="28"/>
        <v>#VALUE!</v>
      </c>
      <c r="X145" s="67"/>
    </row>
    <row r="146" spans="1:24" x14ac:dyDescent="0.35">
      <c r="A146" s="68" t="str">
        <f t="shared" si="30"/>
        <v/>
      </c>
      <c r="B146" s="64" t="str">
        <f t="shared" si="41"/>
        <v/>
      </c>
      <c r="C146" s="64" t="str">
        <f t="shared" ca="1" si="31"/>
        <v xml:space="preserve"> </v>
      </c>
      <c r="D146" s="68" t="str">
        <f t="shared" si="39"/>
        <v/>
      </c>
      <c r="E146" s="65" t="str">
        <f t="shared" si="40"/>
        <v/>
      </c>
      <c r="F146" s="65" t="str">
        <f>IF(AND(A145="",A147=""),"",IF(A146="",ROUND(SUM($F$25:F145),2),IF(A146=$D$8,$E$24-ROUND(SUM($F$25:F145),2),ROUND($E$24/$D$8,2))))</f>
        <v/>
      </c>
      <c r="G146" s="65" t="str">
        <f>IF(A145=$D$8,ROUND(SUM($G$25:G145),2),IF(A146&gt;$D$8,"",IF(T146&lt;&gt;T145,ROUND(SUM(V146*$D$9*E145/T146,W146*$D$9*E145/T145),2),ROUND(E145*$D$9*D146/T145,2))))</f>
        <v/>
      </c>
      <c r="H146" s="65" t="str">
        <f>IF(A145=$D$8,SUM($H$25:H145),IF(A145&gt;$D$8,"",F146+G146))</f>
        <v/>
      </c>
      <c r="I146" s="74" t="str">
        <f t="shared" si="42"/>
        <v/>
      </c>
      <c r="J146" s="74" t="str">
        <f t="shared" ref="J146:J156" si="49">IF(A145=$D$8,$J$24,"")</f>
        <v/>
      </c>
      <c r="K146" s="74"/>
      <c r="L146" s="74" t="str">
        <f t="shared" si="43"/>
        <v/>
      </c>
      <c r="M146" s="65" t="str">
        <f t="shared" si="36"/>
        <v/>
      </c>
      <c r="N146" s="65" t="str">
        <f t="shared" si="37"/>
        <v/>
      </c>
      <c r="O146" s="67"/>
      <c r="P146" s="70" t="str">
        <f>IF(A145=$D$8,XIRR(H$24:H145,C$24:C145),"")</f>
        <v/>
      </c>
      <c r="Q146" s="74" t="str">
        <f t="shared" si="35"/>
        <v/>
      </c>
      <c r="R146" s="65">
        <f t="shared" si="32"/>
        <v>0</v>
      </c>
      <c r="S146" s="67" t="e">
        <f t="shared" ca="1" si="33"/>
        <v>#VALUE!</v>
      </c>
      <c r="T146" s="67" t="e">
        <f t="shared" ca="1" si="34"/>
        <v>#VALUE!</v>
      </c>
      <c r="U146" s="67" t="e">
        <f t="shared" ca="1" si="44"/>
        <v>#VALUE!</v>
      </c>
      <c r="V146" s="72" t="e">
        <f t="shared" ca="1" si="45"/>
        <v>#VALUE!</v>
      </c>
      <c r="W146" s="73" t="e">
        <f t="shared" ca="1" si="28"/>
        <v>#VALUE!</v>
      </c>
      <c r="X146" s="67"/>
    </row>
    <row r="147" spans="1:24" x14ac:dyDescent="0.35">
      <c r="A147" s="68" t="str">
        <f t="shared" si="30"/>
        <v/>
      </c>
      <c r="B147" s="64" t="str">
        <f t="shared" si="41"/>
        <v/>
      </c>
      <c r="C147" s="64" t="str">
        <f t="shared" ca="1" si="31"/>
        <v xml:space="preserve"> </v>
      </c>
      <c r="D147" s="68" t="str">
        <f t="shared" si="39"/>
        <v/>
      </c>
      <c r="E147" s="65" t="str">
        <f t="shared" si="40"/>
        <v/>
      </c>
      <c r="F147" s="65" t="str">
        <f>IF(AND(A146="",A148=""),"",IF(A147="",ROUND(SUM($F$25:F146),2),IF(A147=$D$8,$E$24-ROUND(SUM($F$25:F146),2),ROUND($E$24/$D$8,2))))</f>
        <v/>
      </c>
      <c r="G147" s="65" t="str">
        <f>IF(A146=$D$8,ROUND(SUM($G$25:G146),2),IF(A147&gt;$D$8,"",IF(T147&lt;&gt;T146,ROUND(SUM(V147*$D$9*E146/T147,W147*$D$9*E146/T146),2),ROUND(E146*$D$9*D147/T146,2))))</f>
        <v/>
      </c>
      <c r="H147" s="65" t="str">
        <f>IF(A146=$D$8,SUM($H$25:H146),IF(A146&gt;$D$8,"",F147+G147))</f>
        <v/>
      </c>
      <c r="I147" s="74" t="str">
        <f t="shared" si="42"/>
        <v/>
      </c>
      <c r="J147" s="74" t="str">
        <f t="shared" si="49"/>
        <v/>
      </c>
      <c r="K147" s="74"/>
      <c r="L147" s="74" t="str">
        <f t="shared" si="43"/>
        <v/>
      </c>
      <c r="M147" s="65" t="str">
        <f t="shared" si="36"/>
        <v/>
      </c>
      <c r="N147" s="65" t="str">
        <f t="shared" si="37"/>
        <v/>
      </c>
      <c r="O147" s="67"/>
      <c r="P147" s="70" t="str">
        <f>IF(A146=$D$8,XIRR(H$24:H146,C$24:C146),"")</f>
        <v/>
      </c>
      <c r="Q147" s="74" t="str">
        <f t="shared" si="35"/>
        <v/>
      </c>
      <c r="R147" s="65">
        <f t="shared" si="32"/>
        <v>0</v>
      </c>
      <c r="S147" s="67" t="e">
        <f t="shared" ca="1" si="33"/>
        <v>#VALUE!</v>
      </c>
      <c r="T147" s="67" t="e">
        <f t="shared" ca="1" si="34"/>
        <v>#VALUE!</v>
      </c>
      <c r="U147" s="67" t="e">
        <f t="shared" ca="1" si="44"/>
        <v>#VALUE!</v>
      </c>
      <c r="V147" s="72" t="e">
        <f t="shared" ca="1" si="45"/>
        <v>#VALUE!</v>
      </c>
      <c r="W147" s="73" t="e">
        <f t="shared" ca="1" si="28"/>
        <v>#VALUE!</v>
      </c>
      <c r="X147" s="67"/>
    </row>
    <row r="148" spans="1:24" x14ac:dyDescent="0.35">
      <c r="A148" s="68" t="str">
        <f t="shared" si="30"/>
        <v/>
      </c>
      <c r="B148" s="64" t="str">
        <f t="shared" si="41"/>
        <v/>
      </c>
      <c r="C148" s="64" t="str">
        <f t="shared" ca="1" si="31"/>
        <v xml:space="preserve"> </v>
      </c>
      <c r="D148" s="68" t="str">
        <f t="shared" si="39"/>
        <v/>
      </c>
      <c r="E148" s="65" t="str">
        <f t="shared" si="40"/>
        <v/>
      </c>
      <c r="F148" s="65" t="str">
        <f>IF(AND(A147="",A149=""),"",IF(A148="",ROUND(SUM($F$25:F147),2),IF(A148=$D$8,$E$24-ROUND(SUM($F$25:F147),2),ROUND($E$24/$D$8,2))))</f>
        <v/>
      </c>
      <c r="G148" s="65" t="str">
        <f>IF(A147=$D$8,ROUND(SUM($G$25:G147),2),IF(A148&gt;$D$8,"",IF(T148&lt;&gt;T147,ROUND(SUM(V148*$D$9*E147/T148,W148*$D$9*E147/T147),2),ROUND(E147*$D$9*D148/T147,2))))</f>
        <v/>
      </c>
      <c r="H148" s="65" t="str">
        <f>IF(A147=$D$8,SUM($H$25:H147),IF(A147&gt;$D$8,"",F148+G148))</f>
        <v/>
      </c>
      <c r="I148" s="74" t="str">
        <f t="shared" si="42"/>
        <v/>
      </c>
      <c r="J148" s="74" t="str">
        <f t="shared" si="49"/>
        <v/>
      </c>
      <c r="K148" s="74"/>
      <c r="L148" s="74" t="str">
        <f t="shared" si="43"/>
        <v/>
      </c>
      <c r="M148" s="65" t="str">
        <f t="shared" si="36"/>
        <v/>
      </c>
      <c r="N148" s="65" t="str">
        <f t="shared" si="37"/>
        <v/>
      </c>
      <c r="O148" s="67"/>
      <c r="P148" s="70" t="str">
        <f>IF(A147=$D$8,XIRR(H$24:H147,C$24:C147),"")</f>
        <v/>
      </c>
      <c r="Q148" s="74" t="str">
        <f t="shared" si="35"/>
        <v/>
      </c>
      <c r="R148" s="65">
        <f t="shared" si="32"/>
        <v>0</v>
      </c>
      <c r="S148" s="67" t="e">
        <f t="shared" ca="1" si="33"/>
        <v>#VALUE!</v>
      </c>
      <c r="T148" s="67" t="e">
        <f t="shared" ca="1" si="34"/>
        <v>#VALUE!</v>
      </c>
      <c r="U148" s="67" t="e">
        <f t="shared" ca="1" si="44"/>
        <v>#VALUE!</v>
      </c>
      <c r="V148" s="72" t="e">
        <f t="shared" ca="1" si="45"/>
        <v>#VALUE!</v>
      </c>
      <c r="W148" s="73" t="e">
        <f t="shared" ca="1" si="28"/>
        <v>#VALUE!</v>
      </c>
      <c r="X148" s="67"/>
    </row>
    <row r="149" spans="1:24" x14ac:dyDescent="0.35">
      <c r="A149" s="68" t="str">
        <f t="shared" si="30"/>
        <v/>
      </c>
      <c r="B149" s="64" t="str">
        <f t="shared" si="41"/>
        <v/>
      </c>
      <c r="C149" s="64" t="str">
        <f t="shared" ca="1" si="31"/>
        <v xml:space="preserve"> </v>
      </c>
      <c r="D149" s="68" t="str">
        <f t="shared" si="39"/>
        <v/>
      </c>
      <c r="E149" s="65" t="str">
        <f t="shared" si="40"/>
        <v/>
      </c>
      <c r="F149" s="65" t="str">
        <f>IF(AND(A148="",A150=""),"",IF(A149="",ROUND(SUM($F$25:F148),2),IF(A149=$D$8,$E$24-ROUND(SUM($F$25:F148),2),ROUND($E$24/$D$8,2))))</f>
        <v/>
      </c>
      <c r="G149" s="65" t="str">
        <f>IF(A148=$D$8,ROUND(SUM($G$25:G148),2),IF(A149&gt;$D$8,"",IF(T149&lt;&gt;T148,ROUND(SUM(V149*$D$9*E148/T149,W149*$D$9*E148/T148),2),ROUND(E148*$D$9*D149/T148,2))))</f>
        <v/>
      </c>
      <c r="H149" s="65" t="str">
        <f>IF(A148=$D$8,SUM($H$25:H148),IF(A148&gt;$D$8,"",F149+G149))</f>
        <v/>
      </c>
      <c r="I149" s="74" t="str">
        <f t="shared" si="42"/>
        <v/>
      </c>
      <c r="J149" s="74" t="str">
        <f t="shared" si="49"/>
        <v/>
      </c>
      <c r="K149" s="74"/>
      <c r="L149" s="74" t="str">
        <f t="shared" si="43"/>
        <v/>
      </c>
      <c r="M149" s="65" t="str">
        <f t="shared" si="36"/>
        <v/>
      </c>
      <c r="N149" s="65" t="str">
        <f t="shared" si="37"/>
        <v/>
      </c>
      <c r="O149" s="67"/>
      <c r="P149" s="70" t="str">
        <f>IF(A148=$D$8,XIRR(H$24:H148,C$24:C148),"")</f>
        <v/>
      </c>
      <c r="Q149" s="74" t="str">
        <f t="shared" si="35"/>
        <v/>
      </c>
      <c r="R149" s="65">
        <f t="shared" si="32"/>
        <v>0</v>
      </c>
      <c r="S149" s="67" t="e">
        <f t="shared" ca="1" si="33"/>
        <v>#VALUE!</v>
      </c>
      <c r="T149" s="67" t="e">
        <f t="shared" ca="1" si="34"/>
        <v>#VALUE!</v>
      </c>
      <c r="U149" s="67" t="e">
        <f t="shared" ca="1" si="44"/>
        <v>#VALUE!</v>
      </c>
      <c r="V149" s="72" t="e">
        <f t="shared" ca="1" si="45"/>
        <v>#VALUE!</v>
      </c>
      <c r="W149" s="73" t="e">
        <f t="shared" ref="W149:W212" ca="1" si="50">D149-V149</f>
        <v>#VALUE!</v>
      </c>
      <c r="X149" s="67"/>
    </row>
    <row r="150" spans="1:24" x14ac:dyDescent="0.35">
      <c r="A150" s="68" t="str">
        <f t="shared" si="30"/>
        <v/>
      </c>
      <c r="B150" s="64" t="str">
        <f t="shared" si="41"/>
        <v/>
      </c>
      <c r="C150" s="64" t="str">
        <f t="shared" ca="1" si="31"/>
        <v xml:space="preserve"> </v>
      </c>
      <c r="D150" s="68" t="str">
        <f t="shared" si="39"/>
        <v/>
      </c>
      <c r="E150" s="65" t="str">
        <f t="shared" si="40"/>
        <v/>
      </c>
      <c r="F150" s="65" t="str">
        <f>IF(AND(A149="",A151=""),"",IF(A150="",ROUND(SUM($F$25:F149),2),IF(A150=$D$8,$E$24-ROUND(SUM($F$25:F149),2),ROUND($E$24/$D$8,2))))</f>
        <v/>
      </c>
      <c r="G150" s="65" t="str">
        <f>IF(A149=$D$8,ROUND(SUM($G$25:G149),2),IF(A150&gt;$D$8,"",IF(T150&lt;&gt;T149,ROUND(SUM(V150*$D$9*E149/T150,W150*$D$9*E149/T149),2),ROUND(E149*$D$9*D150/T149,2))))</f>
        <v/>
      </c>
      <c r="H150" s="65" t="str">
        <f>IF(A149=$D$8,SUM($H$25:H149),IF(A149&gt;$D$8,"",F150+G150))</f>
        <v/>
      </c>
      <c r="I150" s="74" t="str">
        <f t="shared" si="42"/>
        <v/>
      </c>
      <c r="J150" s="74" t="str">
        <f t="shared" si="49"/>
        <v/>
      </c>
      <c r="K150" s="74"/>
      <c r="L150" s="74" t="str">
        <f t="shared" si="43"/>
        <v/>
      </c>
      <c r="M150" s="65" t="str">
        <f t="shared" si="36"/>
        <v/>
      </c>
      <c r="N150" s="65" t="str">
        <f t="shared" si="37"/>
        <v/>
      </c>
      <c r="O150" s="67"/>
      <c r="P150" s="70" t="str">
        <f>IF(A149=$D$8,XIRR(H$24:H149,C$24:C149),"")</f>
        <v/>
      </c>
      <c r="Q150" s="74" t="str">
        <f t="shared" si="35"/>
        <v/>
      </c>
      <c r="R150" s="65">
        <f t="shared" si="32"/>
        <v>0</v>
      </c>
      <c r="S150" s="67" t="e">
        <f t="shared" ca="1" si="33"/>
        <v>#VALUE!</v>
      </c>
      <c r="T150" s="67" t="e">
        <f t="shared" ca="1" si="34"/>
        <v>#VALUE!</v>
      </c>
      <c r="U150" s="67" t="e">
        <f t="shared" ca="1" si="44"/>
        <v>#VALUE!</v>
      </c>
      <c r="V150" s="72" t="e">
        <f t="shared" ca="1" si="45"/>
        <v>#VALUE!</v>
      </c>
      <c r="W150" s="73" t="e">
        <f t="shared" ca="1" si="50"/>
        <v>#VALUE!</v>
      </c>
      <c r="X150" s="67"/>
    </row>
    <row r="151" spans="1:24" x14ac:dyDescent="0.35">
      <c r="A151" s="68" t="str">
        <f t="shared" si="30"/>
        <v/>
      </c>
      <c r="B151" s="64" t="str">
        <f t="shared" si="41"/>
        <v/>
      </c>
      <c r="C151" s="64" t="str">
        <f t="shared" ca="1" si="31"/>
        <v xml:space="preserve"> </v>
      </c>
      <c r="D151" s="68" t="str">
        <f t="shared" si="39"/>
        <v/>
      </c>
      <c r="E151" s="65" t="str">
        <f t="shared" si="40"/>
        <v/>
      </c>
      <c r="F151" s="65" t="str">
        <f>IF(AND(A150="",A152=""),"",IF(A151="",ROUND(SUM($F$25:F150),2),IF(A151=$D$8,$E$24-ROUND(SUM($F$25:F150),2),ROUND($E$24/$D$8,2))))</f>
        <v/>
      </c>
      <c r="G151" s="65" t="str">
        <f>IF(A150=$D$8,ROUND(SUM($G$25:G150),2),IF(A151&gt;$D$8,"",IF(T151&lt;&gt;T150,ROUND(SUM(V151*$D$9*E150/T151,W151*$D$9*E150/T150),2),ROUND(E150*$D$9*D151/T150,2))))</f>
        <v/>
      </c>
      <c r="H151" s="65" t="str">
        <f>IF(A150=$D$8,SUM($H$25:H150),IF(A150&gt;$D$8,"",F151+G151))</f>
        <v/>
      </c>
      <c r="I151" s="74" t="str">
        <f t="shared" si="42"/>
        <v/>
      </c>
      <c r="J151" s="74" t="str">
        <f t="shared" si="49"/>
        <v/>
      </c>
      <c r="K151" s="74"/>
      <c r="L151" s="74" t="str">
        <f t="shared" si="43"/>
        <v/>
      </c>
      <c r="M151" s="65" t="str">
        <f t="shared" si="36"/>
        <v/>
      </c>
      <c r="N151" s="65" t="str">
        <f t="shared" si="37"/>
        <v/>
      </c>
      <c r="O151" s="67"/>
      <c r="P151" s="70" t="str">
        <f>IF(A150=$D$8,XIRR(H$24:H150,C$24:C150),"")</f>
        <v/>
      </c>
      <c r="Q151" s="74" t="str">
        <f t="shared" si="35"/>
        <v/>
      </c>
      <c r="R151" s="65">
        <f t="shared" si="32"/>
        <v>0</v>
      </c>
      <c r="S151" s="67" t="e">
        <f t="shared" ca="1" si="33"/>
        <v>#VALUE!</v>
      </c>
      <c r="T151" s="67" t="e">
        <f t="shared" ca="1" si="34"/>
        <v>#VALUE!</v>
      </c>
      <c r="U151" s="67" t="e">
        <f t="shared" ca="1" si="44"/>
        <v>#VALUE!</v>
      </c>
      <c r="V151" s="72" t="e">
        <f t="shared" ca="1" si="45"/>
        <v>#VALUE!</v>
      </c>
      <c r="W151" s="73" t="e">
        <f t="shared" ca="1" si="50"/>
        <v>#VALUE!</v>
      </c>
      <c r="X151" s="67"/>
    </row>
    <row r="152" spans="1:24" x14ac:dyDescent="0.35">
      <c r="A152" s="68" t="str">
        <f t="shared" si="30"/>
        <v/>
      </c>
      <c r="B152" s="64" t="str">
        <f t="shared" si="41"/>
        <v/>
      </c>
      <c r="C152" s="64" t="str">
        <f t="shared" ca="1" si="31"/>
        <v xml:space="preserve"> </v>
      </c>
      <c r="D152" s="68" t="str">
        <f t="shared" si="39"/>
        <v/>
      </c>
      <c r="E152" s="65" t="str">
        <f t="shared" si="40"/>
        <v/>
      </c>
      <c r="F152" s="65" t="str">
        <f>IF(AND(A151="",A153=""),"",IF(A152="",ROUND(SUM($F$25:F151),2),IF(A152=$D$8,$E$24-ROUND(SUM($F$25:F151),2),ROUND($E$24/$D$8,2))))</f>
        <v/>
      </c>
      <c r="G152" s="65" t="str">
        <f>IF(A151=$D$8,ROUND(SUM($G$25:G151),2),IF(A152&gt;$D$8,"",IF(T152&lt;&gt;T151,ROUND(SUM(V152*$D$9*E151/T152,W152*$D$9*E151/T151),2),ROUND(E151*$D$9*D152/T151,2))))</f>
        <v/>
      </c>
      <c r="H152" s="65" t="str">
        <f>IF(A151=$D$8,SUM($H$25:H151),IF(A151&gt;$D$8,"",F152+G152))</f>
        <v/>
      </c>
      <c r="I152" s="74" t="str">
        <f t="shared" si="42"/>
        <v/>
      </c>
      <c r="J152" s="74" t="str">
        <f t="shared" si="49"/>
        <v/>
      </c>
      <c r="K152" s="74"/>
      <c r="L152" s="74" t="str">
        <f t="shared" si="43"/>
        <v/>
      </c>
      <c r="M152" s="65" t="str">
        <f t="shared" si="36"/>
        <v/>
      </c>
      <c r="N152" s="65" t="str">
        <f t="shared" si="37"/>
        <v/>
      </c>
      <c r="O152" s="67"/>
      <c r="P152" s="70" t="str">
        <f>IF(A151=$D$8,XIRR(H$24:H151,C$24:C151),"")</f>
        <v/>
      </c>
      <c r="Q152" s="74" t="str">
        <f t="shared" si="35"/>
        <v/>
      </c>
      <c r="R152" s="65">
        <f t="shared" si="32"/>
        <v>0</v>
      </c>
      <c r="S152" s="67" t="e">
        <f t="shared" ca="1" si="33"/>
        <v>#VALUE!</v>
      </c>
      <c r="T152" s="67" t="e">
        <f t="shared" ca="1" si="34"/>
        <v>#VALUE!</v>
      </c>
      <c r="U152" s="67" t="e">
        <f t="shared" ca="1" si="44"/>
        <v>#VALUE!</v>
      </c>
      <c r="V152" s="72" t="e">
        <f t="shared" ca="1" si="45"/>
        <v>#VALUE!</v>
      </c>
      <c r="W152" s="73" t="e">
        <f t="shared" ca="1" si="50"/>
        <v>#VALUE!</v>
      </c>
      <c r="X152" s="67"/>
    </row>
    <row r="153" spans="1:24" x14ac:dyDescent="0.35">
      <c r="A153" s="68" t="str">
        <f t="shared" si="30"/>
        <v/>
      </c>
      <c r="B153" s="64" t="str">
        <f t="shared" si="41"/>
        <v/>
      </c>
      <c r="C153" s="64" t="str">
        <f t="shared" ca="1" si="31"/>
        <v xml:space="preserve"> </v>
      </c>
      <c r="D153" s="68" t="str">
        <f t="shared" si="39"/>
        <v/>
      </c>
      <c r="E153" s="65" t="str">
        <f t="shared" si="40"/>
        <v/>
      </c>
      <c r="F153" s="65" t="str">
        <f>IF(AND(A152="",A154=""),"",IF(A153="",ROUND(SUM($F$25:F152),2),IF(A153=$D$8,$E$24-ROUND(SUM($F$25:F152),2),ROUND($E$24/$D$8,2))))</f>
        <v/>
      </c>
      <c r="G153" s="65" t="str">
        <f>IF(A152=$D$8,ROUND(SUM($G$25:G152),2),IF(A153&gt;$D$8,"",IF(T153&lt;&gt;T152,ROUND(SUM(V153*$D$9*E152/T153,W153*$D$9*E152/T152),2),ROUND(E152*$D$9*D153/T152,2))))</f>
        <v/>
      </c>
      <c r="H153" s="65" t="str">
        <f>IF(A152=$D$8,SUM($H$25:H152),IF(A152&gt;$D$8,"",F153+G153))</f>
        <v/>
      </c>
      <c r="I153" s="74" t="str">
        <f t="shared" si="42"/>
        <v/>
      </c>
      <c r="J153" s="74" t="str">
        <f t="shared" si="49"/>
        <v/>
      </c>
      <c r="K153" s="74"/>
      <c r="L153" s="74" t="str">
        <f t="shared" si="43"/>
        <v/>
      </c>
      <c r="M153" s="65" t="str">
        <f t="shared" si="36"/>
        <v/>
      </c>
      <c r="N153" s="65" t="str">
        <f t="shared" si="37"/>
        <v/>
      </c>
      <c r="O153" s="67"/>
      <c r="P153" s="70" t="str">
        <f>IF(A152=$D$8,XIRR(H$24:H152,C$24:C152),"")</f>
        <v/>
      </c>
      <c r="Q153" s="74" t="str">
        <f t="shared" si="35"/>
        <v/>
      </c>
      <c r="R153" s="65">
        <f t="shared" si="32"/>
        <v>0</v>
      </c>
      <c r="S153" s="67" t="e">
        <f t="shared" ca="1" si="33"/>
        <v>#VALUE!</v>
      </c>
      <c r="T153" s="67" t="e">
        <f t="shared" ca="1" si="34"/>
        <v>#VALUE!</v>
      </c>
      <c r="U153" s="67" t="e">
        <f t="shared" ca="1" si="44"/>
        <v>#VALUE!</v>
      </c>
      <c r="V153" s="72" t="e">
        <f t="shared" ca="1" si="45"/>
        <v>#VALUE!</v>
      </c>
      <c r="W153" s="73" t="e">
        <f t="shared" ca="1" si="50"/>
        <v>#VALUE!</v>
      </c>
      <c r="X153" s="67"/>
    </row>
    <row r="154" spans="1:24" x14ac:dyDescent="0.35">
      <c r="A154" s="68" t="str">
        <f t="shared" ref="A154:A217" si="51">IF(A153&lt;$D$8,A153+1,"")</f>
        <v/>
      </c>
      <c r="B154" s="64" t="str">
        <f t="shared" si="41"/>
        <v/>
      </c>
      <c r="C154" s="64" t="str">
        <f t="shared" ref="C154:C217" ca="1" si="52">IF(B154=$D$10,B154-1,(IF(B154&gt;$D$10," ",B154)))</f>
        <v xml:space="preserve"> </v>
      </c>
      <c r="D154" s="68" t="str">
        <f t="shared" si="39"/>
        <v/>
      </c>
      <c r="E154" s="65" t="str">
        <f t="shared" si="40"/>
        <v/>
      </c>
      <c r="F154" s="65" t="str">
        <f>IF(AND(A153="",A155=""),"",IF(A154="",ROUND(SUM($F$25:F153),2),IF(A154=$D$8,$E$24-ROUND(SUM($F$25:F153),2),ROUND($E$24/$D$8,2))))</f>
        <v/>
      </c>
      <c r="G154" s="65" t="str">
        <f>IF(A153=$D$8,ROUND(SUM($G$25:G153),2),IF(A154&gt;$D$8,"",IF(T154&lt;&gt;T153,ROUND(SUM(V154*$D$9*E153/T154,W154*$D$9*E153/T153),2),ROUND(E153*$D$9*D154/T153,2))))</f>
        <v/>
      </c>
      <c r="H154" s="65" t="str">
        <f>IF(A153=$D$8,SUM($H$25:H153),IF(A153&gt;$D$8,"",F154+G154))</f>
        <v/>
      </c>
      <c r="I154" s="74" t="str">
        <f t="shared" si="42"/>
        <v/>
      </c>
      <c r="J154" s="74" t="str">
        <f t="shared" si="49"/>
        <v/>
      </c>
      <c r="K154" s="74"/>
      <c r="L154" s="74" t="str">
        <f t="shared" si="43"/>
        <v/>
      </c>
      <c r="M154" s="65" t="str">
        <f t="shared" si="36"/>
        <v/>
      </c>
      <c r="N154" s="65" t="str">
        <f t="shared" si="37"/>
        <v/>
      </c>
      <c r="O154" s="67"/>
      <c r="P154" s="70" t="str">
        <f>IF(A153=$D$8,XIRR(H$24:H153,C$24:C153),"")</f>
        <v/>
      </c>
      <c r="Q154" s="74" t="str">
        <f t="shared" si="35"/>
        <v/>
      </c>
      <c r="R154" s="65">
        <f t="shared" ref="R154:R217" si="53">SUM(H154:Q154)</f>
        <v>0</v>
      </c>
      <c r="S154" s="67" t="e">
        <f t="shared" ref="S154:S217" ca="1" si="54">IF(C154="","",YEAR(C154))</f>
        <v>#VALUE!</v>
      </c>
      <c r="T154" s="67" t="e">
        <f t="shared" ref="T154:T217" ca="1" si="55">IF(OR(S154=2024,S154=2028,S154=2016,S154=2020,S154=2024,S154=2028,S154=2032,S154=2036,S154=2040),366,365)</f>
        <v>#VALUE!</v>
      </c>
      <c r="U154" s="67" t="e">
        <f t="shared" ca="1" si="44"/>
        <v>#VALUE!</v>
      </c>
      <c r="V154" s="72" t="e">
        <f t="shared" ca="1" si="45"/>
        <v>#VALUE!</v>
      </c>
      <c r="W154" s="73" t="e">
        <f t="shared" ca="1" si="50"/>
        <v>#VALUE!</v>
      </c>
      <c r="X154" s="67"/>
    </row>
    <row r="155" spans="1:24" x14ac:dyDescent="0.35">
      <c r="A155" s="68" t="str">
        <f t="shared" si="51"/>
        <v/>
      </c>
      <c r="B155" s="64" t="str">
        <f t="shared" si="41"/>
        <v/>
      </c>
      <c r="C155" s="64" t="str">
        <f t="shared" ca="1" si="52"/>
        <v xml:space="preserve"> </v>
      </c>
      <c r="D155" s="68" t="str">
        <f t="shared" si="39"/>
        <v/>
      </c>
      <c r="E155" s="65" t="str">
        <f t="shared" si="40"/>
        <v/>
      </c>
      <c r="F155" s="65" t="str">
        <f>IF(AND(A154="",A156=""),"",IF(A155="",ROUND(SUM($F$25:F154),2),IF(A155=$D$8,$E$24-ROUND(SUM($F$25:F154),2),ROUND($E$24/$D$8,2))))</f>
        <v/>
      </c>
      <c r="G155" s="65" t="str">
        <f>IF(A154=$D$8,ROUND(SUM($G$25:G154),2),IF(A155&gt;$D$8,"",IF(T155&lt;&gt;T154,ROUND(SUM(V155*$D$9*E154/T155,W155*$D$9*E154/T154),2),ROUND(E154*$D$9*D155/T154,2))))</f>
        <v/>
      </c>
      <c r="H155" s="65" t="str">
        <f>IF(A154=$D$8,SUM($H$25:H154),IF(A154&gt;$D$8,"",F155+G155))</f>
        <v/>
      </c>
      <c r="I155" s="74" t="str">
        <f t="shared" si="42"/>
        <v/>
      </c>
      <c r="J155" s="74" t="str">
        <f t="shared" si="49"/>
        <v/>
      </c>
      <c r="K155" s="74"/>
      <c r="L155" s="74" t="str">
        <f t="shared" si="43"/>
        <v/>
      </c>
      <c r="M155" s="65" t="str">
        <f t="shared" si="36"/>
        <v/>
      </c>
      <c r="N155" s="65" t="str">
        <f t="shared" si="37"/>
        <v/>
      </c>
      <c r="O155" s="67"/>
      <c r="P155" s="70" t="str">
        <f>IF(A154=$D$8,XIRR(H$24:H154,C$24:C154),"")</f>
        <v/>
      </c>
      <c r="Q155" s="74" t="str">
        <f t="shared" ref="Q155:Q218" si="56">IF(A154=$D$8,G155+M155+F155+I155+J155+K155+L155+N155+O155,"")</f>
        <v/>
      </c>
      <c r="R155" s="65">
        <f t="shared" si="53"/>
        <v>0</v>
      </c>
      <c r="S155" s="67" t="e">
        <f t="shared" ca="1" si="54"/>
        <v>#VALUE!</v>
      </c>
      <c r="T155" s="67" t="e">
        <f t="shared" ca="1" si="55"/>
        <v>#VALUE!</v>
      </c>
      <c r="U155" s="67" t="e">
        <f t="shared" ca="1" si="44"/>
        <v>#VALUE!</v>
      </c>
      <c r="V155" s="72" t="e">
        <f t="shared" ca="1" si="45"/>
        <v>#VALUE!</v>
      </c>
      <c r="W155" s="73" t="e">
        <f t="shared" ca="1" si="50"/>
        <v>#VALUE!</v>
      </c>
      <c r="X155" s="67"/>
    </row>
    <row r="156" spans="1:24" x14ac:dyDescent="0.35">
      <c r="A156" s="68" t="str">
        <f t="shared" si="51"/>
        <v/>
      </c>
      <c r="B156" s="64" t="str">
        <f t="shared" si="41"/>
        <v/>
      </c>
      <c r="C156" s="64" t="str">
        <f t="shared" ca="1" si="52"/>
        <v xml:space="preserve"> </v>
      </c>
      <c r="D156" s="68" t="str">
        <f t="shared" si="39"/>
        <v/>
      </c>
      <c r="E156" s="65" t="str">
        <f t="shared" si="40"/>
        <v/>
      </c>
      <c r="F156" s="65" t="str">
        <f>IF(AND(A155="",A157=""),"",IF(A156="",ROUND(SUM($F$25:F155),2),IF(A156=$D$8,$E$24-ROUND(SUM($F$25:F155),2),ROUND($E$24/$D$8,2))))</f>
        <v/>
      </c>
      <c r="G156" s="65" t="str">
        <f>IF(A155=$D$8,ROUND(SUM($G$25:G155),2),IF(A156&gt;$D$8,"",IF(T156&lt;&gt;T155,ROUND(SUM(V156*$D$9*E155/T156,W156*$D$9*E155/T155),2),ROUND(E155*$D$9*D156/T155,2))))</f>
        <v/>
      </c>
      <c r="H156" s="65" t="str">
        <f>IF(A155=$D$8,SUM($H$25:H155),IF(A155&gt;$D$8,"",F156+G156))</f>
        <v/>
      </c>
      <c r="I156" s="74" t="str">
        <f t="shared" si="42"/>
        <v/>
      </c>
      <c r="J156" s="74" t="str">
        <f t="shared" si="49"/>
        <v/>
      </c>
      <c r="K156" s="74"/>
      <c r="L156" s="74" t="str">
        <f t="shared" si="43"/>
        <v/>
      </c>
      <c r="M156" s="65" t="str">
        <f t="shared" ref="M156:M219" si="57">IF(A155=$D$8,$M$24,"")</f>
        <v/>
      </c>
      <c r="N156" s="65" t="str">
        <f t="shared" si="37"/>
        <v/>
      </c>
      <c r="O156" s="67"/>
      <c r="P156" s="70" t="str">
        <f>IF(A155=$D$8,XIRR(H$24:H155,C$24:C155),"")</f>
        <v/>
      </c>
      <c r="Q156" s="74" t="str">
        <f t="shared" si="56"/>
        <v/>
      </c>
      <c r="R156" s="65">
        <f t="shared" si="53"/>
        <v>0</v>
      </c>
      <c r="S156" s="67" t="e">
        <f t="shared" ca="1" si="54"/>
        <v>#VALUE!</v>
      </c>
      <c r="T156" s="67" t="e">
        <f t="shared" ca="1" si="55"/>
        <v>#VALUE!</v>
      </c>
      <c r="U156" s="67" t="e">
        <f t="shared" ca="1" si="44"/>
        <v>#VALUE!</v>
      </c>
      <c r="V156" s="72" t="e">
        <f t="shared" ca="1" si="45"/>
        <v>#VALUE!</v>
      </c>
      <c r="W156" s="73" t="e">
        <f t="shared" ca="1" si="50"/>
        <v>#VALUE!</v>
      </c>
      <c r="X156" s="67"/>
    </row>
    <row r="157" spans="1:24" x14ac:dyDescent="0.35">
      <c r="A157" s="68" t="str">
        <f t="shared" si="51"/>
        <v/>
      </c>
      <c r="B157" s="64" t="str">
        <f t="shared" si="41"/>
        <v/>
      </c>
      <c r="C157" s="64" t="str">
        <f t="shared" ca="1" si="52"/>
        <v xml:space="preserve"> </v>
      </c>
      <c r="D157" s="68" t="str">
        <f t="shared" si="39"/>
        <v/>
      </c>
      <c r="E157" s="65" t="str">
        <f t="shared" si="40"/>
        <v/>
      </c>
      <c r="F157" s="65" t="str">
        <f>IF(AND(A156="",A158=""),"",IF(A157="",ROUND(SUM($F$25:F156),2),IF(A157=$D$8,$E$24-ROUND(SUM($F$25:F156),2),ROUND($E$24/$D$8,2))))</f>
        <v/>
      </c>
      <c r="G157" s="65" t="str">
        <f>IF(A156=$D$8,ROUND(SUM($G$25:G156),2),IF(A157&gt;$D$8,"",IF(T157&lt;&gt;T156,ROUND(SUM(V157*$D$9*E156/T157,W157*$D$9*E156/T156),2),ROUND(E156*$D$9*D157/T156,2))))</f>
        <v/>
      </c>
      <c r="H157" s="65" t="str">
        <f>IF(A156=$D$8,SUM($H$25:H156),IF(A156&gt;$D$8,"",F157+G157))</f>
        <v/>
      </c>
      <c r="I157" s="74" t="str">
        <f t="shared" si="42"/>
        <v/>
      </c>
      <c r="J157" s="74" t="str">
        <f>IF($D$8&gt;A156,$N$9,IF($D$8=A156,SUM($J$24:J156)," "))</f>
        <v xml:space="preserve"> </v>
      </c>
      <c r="K157" s="74" t="str">
        <f>IF($D$8&gt;A156,($O$8+$N$10*E156),IF(A156=$D$8,$K$37+$K$24+$K$49+$K$61+$K$73+$K$85+$K$97+$K$109+$K$121+$K$133+$K$145,""))</f>
        <v/>
      </c>
      <c r="L157" s="74" t="str">
        <f t="shared" si="43"/>
        <v/>
      </c>
      <c r="M157" s="65" t="str">
        <f t="shared" si="57"/>
        <v/>
      </c>
      <c r="N157" s="65" t="str">
        <f t="shared" ref="N157:N220" si="58">IF(A156=$D$8,$N$24,"")</f>
        <v/>
      </c>
      <c r="O157" s="67"/>
      <c r="P157" s="70" t="str">
        <f>IF(A156=$D$8,XIRR(H$24:H156,C$24:C156),"")</f>
        <v/>
      </c>
      <c r="Q157" s="74" t="str">
        <f t="shared" si="56"/>
        <v/>
      </c>
      <c r="R157" s="65">
        <f t="shared" si="53"/>
        <v>0</v>
      </c>
      <c r="S157" s="67" t="e">
        <f t="shared" ca="1" si="54"/>
        <v>#VALUE!</v>
      </c>
      <c r="T157" s="67" t="e">
        <f t="shared" ca="1" si="55"/>
        <v>#VALUE!</v>
      </c>
      <c r="U157" s="67" t="e">
        <f t="shared" ca="1" si="44"/>
        <v>#VALUE!</v>
      </c>
      <c r="V157" s="72" t="e">
        <f t="shared" ca="1" si="45"/>
        <v>#VALUE!</v>
      </c>
      <c r="W157" s="73" t="e">
        <f t="shared" ca="1" si="50"/>
        <v>#VALUE!</v>
      </c>
      <c r="X157" s="67"/>
    </row>
    <row r="158" spans="1:24" x14ac:dyDescent="0.35">
      <c r="A158" s="68" t="str">
        <f t="shared" si="51"/>
        <v/>
      </c>
      <c r="B158" s="64" t="str">
        <f t="shared" si="41"/>
        <v/>
      </c>
      <c r="C158" s="64" t="str">
        <f t="shared" ca="1" si="52"/>
        <v xml:space="preserve"> </v>
      </c>
      <c r="D158" s="68" t="str">
        <f t="shared" si="39"/>
        <v/>
      </c>
      <c r="E158" s="65" t="str">
        <f t="shared" si="40"/>
        <v/>
      </c>
      <c r="F158" s="65" t="str">
        <f>IF(AND(A157="",A159=""),"",IF(A158="",ROUND(SUM($F$25:F157),2),IF(A158=$D$8,$E$24-ROUND(SUM($F$25:F157),2),ROUND($E$24/$D$8,2))))</f>
        <v/>
      </c>
      <c r="G158" s="65" t="str">
        <f>IF(A157=$D$8,ROUND(SUM($G$25:G157),2),IF(A158&gt;$D$8,"",IF(T158&lt;&gt;T157,ROUND(SUM(V158*$D$9*E157/T158,W158*$D$9*E157/T157),2),ROUND(E157*$D$9*D158/T157,2))))</f>
        <v/>
      </c>
      <c r="H158" s="65" t="str">
        <f>IF(A157=$D$8,SUM($H$25:H157),IF(A157&gt;$D$8,"",F158+G158))</f>
        <v/>
      </c>
      <c r="I158" s="74" t="str">
        <f t="shared" si="42"/>
        <v/>
      </c>
      <c r="J158" s="74" t="str">
        <f t="shared" ref="J158:J168" si="59">IF(A157=$D$8,$J$24,"")</f>
        <v/>
      </c>
      <c r="K158" s="74"/>
      <c r="L158" s="74" t="str">
        <f t="shared" si="43"/>
        <v/>
      </c>
      <c r="M158" s="65" t="str">
        <f t="shared" si="57"/>
        <v/>
      </c>
      <c r="N158" s="65" t="str">
        <f t="shared" si="58"/>
        <v/>
      </c>
      <c r="O158" s="67"/>
      <c r="P158" s="70" t="str">
        <f>IF(A157=$D$8,XIRR(H$24:H157,C$24:C157),"")</f>
        <v/>
      </c>
      <c r="Q158" s="74" t="str">
        <f t="shared" si="56"/>
        <v/>
      </c>
      <c r="R158" s="65">
        <f t="shared" si="53"/>
        <v>0</v>
      </c>
      <c r="S158" s="67" t="e">
        <f t="shared" ca="1" si="54"/>
        <v>#VALUE!</v>
      </c>
      <c r="T158" s="67" t="e">
        <f t="shared" ca="1" si="55"/>
        <v>#VALUE!</v>
      </c>
      <c r="U158" s="67" t="e">
        <f t="shared" ca="1" si="44"/>
        <v>#VALUE!</v>
      </c>
      <c r="V158" s="72" t="e">
        <f t="shared" ca="1" si="45"/>
        <v>#VALUE!</v>
      </c>
      <c r="W158" s="73" t="e">
        <f t="shared" ca="1" si="50"/>
        <v>#VALUE!</v>
      </c>
      <c r="X158" s="67"/>
    </row>
    <row r="159" spans="1:24" x14ac:dyDescent="0.35">
      <c r="A159" s="68" t="str">
        <f t="shared" si="51"/>
        <v/>
      </c>
      <c r="B159" s="64" t="str">
        <f t="shared" si="41"/>
        <v/>
      </c>
      <c r="C159" s="64" t="str">
        <f t="shared" ca="1" si="52"/>
        <v xml:space="preserve"> </v>
      </c>
      <c r="D159" s="68" t="str">
        <f t="shared" si="39"/>
        <v/>
      </c>
      <c r="E159" s="65" t="str">
        <f t="shared" si="40"/>
        <v/>
      </c>
      <c r="F159" s="65" t="str">
        <f>IF(AND(A158="",A160=""),"",IF(A159="",ROUND(SUM($F$25:F158),2),IF(A159=$D$8,$E$24-ROUND(SUM($F$25:F158),2),ROUND($E$24/$D$8,2))))</f>
        <v/>
      </c>
      <c r="G159" s="65" t="str">
        <f>IF(A158=$D$8,ROUND(SUM($G$25:G158),2),IF(A159&gt;$D$8,"",IF(T159&lt;&gt;T158,ROUND(SUM(V159*$D$9*E158/T159,W159*$D$9*E158/T158),2),ROUND(E158*$D$9*D159/T158,2))))</f>
        <v/>
      </c>
      <c r="H159" s="65" t="str">
        <f>IF(A158=$D$8,SUM($H$25:H158),IF(A158&gt;$D$8,"",F159+G159))</f>
        <v/>
      </c>
      <c r="I159" s="74" t="str">
        <f t="shared" si="42"/>
        <v/>
      </c>
      <c r="J159" s="74" t="str">
        <f t="shared" si="59"/>
        <v/>
      </c>
      <c r="K159" s="74"/>
      <c r="L159" s="74" t="str">
        <f t="shared" si="43"/>
        <v/>
      </c>
      <c r="M159" s="65" t="str">
        <f t="shared" si="57"/>
        <v/>
      </c>
      <c r="N159" s="65" t="str">
        <f t="shared" si="58"/>
        <v/>
      </c>
      <c r="O159" s="67"/>
      <c r="P159" s="70" t="str">
        <f>IF(A158=$D$8,XIRR(H$24:H158,C$24:C158),"")</f>
        <v/>
      </c>
      <c r="Q159" s="74" t="str">
        <f t="shared" si="56"/>
        <v/>
      </c>
      <c r="R159" s="65">
        <f t="shared" si="53"/>
        <v>0</v>
      </c>
      <c r="S159" s="67" t="e">
        <f t="shared" ca="1" si="54"/>
        <v>#VALUE!</v>
      </c>
      <c r="T159" s="67" t="e">
        <f t="shared" ca="1" si="55"/>
        <v>#VALUE!</v>
      </c>
      <c r="U159" s="67" t="e">
        <f t="shared" ca="1" si="44"/>
        <v>#VALUE!</v>
      </c>
      <c r="V159" s="72" t="e">
        <f t="shared" ca="1" si="45"/>
        <v>#VALUE!</v>
      </c>
      <c r="W159" s="73" t="e">
        <f t="shared" ca="1" si="50"/>
        <v>#VALUE!</v>
      </c>
      <c r="X159" s="67"/>
    </row>
    <row r="160" spans="1:24" x14ac:dyDescent="0.35">
      <c r="A160" s="68" t="str">
        <f t="shared" si="51"/>
        <v/>
      </c>
      <c r="B160" s="64" t="str">
        <f t="shared" si="41"/>
        <v/>
      </c>
      <c r="C160" s="64" t="str">
        <f t="shared" ca="1" si="52"/>
        <v xml:space="preserve"> </v>
      </c>
      <c r="D160" s="68" t="str">
        <f t="shared" si="39"/>
        <v/>
      </c>
      <c r="E160" s="65" t="str">
        <f t="shared" si="40"/>
        <v/>
      </c>
      <c r="F160" s="65" t="str">
        <f>IF(AND(A159="",A161=""),"",IF(A160="",ROUND(SUM($F$25:F159),2),IF(A160=$D$8,$E$24-ROUND(SUM($F$25:F159),2),ROUND($E$24/$D$8,2))))</f>
        <v/>
      </c>
      <c r="G160" s="65" t="str">
        <f>IF(A159=$D$8,ROUND(SUM($G$25:G159),2),IF(A160&gt;$D$8,"",IF(T160&lt;&gt;T159,ROUND(SUM(V160*$D$9*E159/T160,W160*$D$9*E159/T159),2),ROUND(E159*$D$9*D160/T159,2))))</f>
        <v/>
      </c>
      <c r="H160" s="65" t="str">
        <f>IF(A159=$D$8,SUM($H$25:H159),IF(A159&gt;$D$8,"",F160+G160))</f>
        <v/>
      </c>
      <c r="I160" s="74" t="str">
        <f t="shared" si="42"/>
        <v/>
      </c>
      <c r="J160" s="74" t="str">
        <f t="shared" si="59"/>
        <v/>
      </c>
      <c r="K160" s="74"/>
      <c r="L160" s="74" t="str">
        <f t="shared" si="43"/>
        <v/>
      </c>
      <c r="M160" s="65" t="str">
        <f t="shared" si="57"/>
        <v/>
      </c>
      <c r="N160" s="65" t="str">
        <f t="shared" si="58"/>
        <v/>
      </c>
      <c r="O160" s="67"/>
      <c r="P160" s="70" t="str">
        <f>IF(A159=$D$8,XIRR(H$24:H159,C$24:C159),"")</f>
        <v/>
      </c>
      <c r="Q160" s="74" t="str">
        <f t="shared" si="56"/>
        <v/>
      </c>
      <c r="R160" s="65">
        <f t="shared" si="53"/>
        <v>0</v>
      </c>
      <c r="S160" s="67" t="e">
        <f t="shared" ca="1" si="54"/>
        <v>#VALUE!</v>
      </c>
      <c r="T160" s="67" t="e">
        <f t="shared" ca="1" si="55"/>
        <v>#VALUE!</v>
      </c>
      <c r="U160" s="67" t="e">
        <f t="shared" ca="1" si="44"/>
        <v>#VALUE!</v>
      </c>
      <c r="V160" s="72" t="e">
        <f t="shared" ca="1" si="45"/>
        <v>#VALUE!</v>
      </c>
      <c r="W160" s="73" t="e">
        <f t="shared" ca="1" si="50"/>
        <v>#VALUE!</v>
      </c>
      <c r="X160" s="67"/>
    </row>
    <row r="161" spans="1:24" x14ac:dyDescent="0.35">
      <c r="A161" s="68" t="str">
        <f t="shared" si="51"/>
        <v/>
      </c>
      <c r="B161" s="64" t="str">
        <f t="shared" si="41"/>
        <v/>
      </c>
      <c r="C161" s="64" t="str">
        <f t="shared" ca="1" si="52"/>
        <v xml:space="preserve"> </v>
      </c>
      <c r="D161" s="68" t="str">
        <f t="shared" si="39"/>
        <v/>
      </c>
      <c r="E161" s="65" t="str">
        <f t="shared" si="40"/>
        <v/>
      </c>
      <c r="F161" s="65" t="str">
        <f>IF(AND(A160="",A162=""),"",IF(A161="",ROUND(SUM($F$25:F160),2),IF(A161=$D$8,$E$24-ROUND(SUM($F$25:F160),2),ROUND($E$24/$D$8,2))))</f>
        <v/>
      </c>
      <c r="G161" s="65" t="str">
        <f>IF(A160=$D$8,ROUND(SUM($G$25:G160),2),IF(A161&gt;$D$8,"",IF(T161&lt;&gt;T160,ROUND(SUM(V161*$D$9*E160/T161,W161*$D$9*E160/T160),2),ROUND(E160*$D$9*D161/T160,2))))</f>
        <v/>
      </c>
      <c r="H161" s="65" t="str">
        <f>IF(A160=$D$8,SUM($H$25:H160),IF(A160&gt;$D$8,"",F161+G161))</f>
        <v/>
      </c>
      <c r="I161" s="74" t="str">
        <f t="shared" si="42"/>
        <v/>
      </c>
      <c r="J161" s="74" t="str">
        <f t="shared" si="59"/>
        <v/>
      </c>
      <c r="K161" s="74"/>
      <c r="L161" s="74" t="str">
        <f t="shared" si="43"/>
        <v/>
      </c>
      <c r="M161" s="65" t="str">
        <f t="shared" si="57"/>
        <v/>
      </c>
      <c r="N161" s="65" t="str">
        <f t="shared" si="58"/>
        <v/>
      </c>
      <c r="O161" s="67"/>
      <c r="P161" s="70" t="str">
        <f>IF(A160=$D$8,XIRR(H$24:H160,C$24:C160),"")</f>
        <v/>
      </c>
      <c r="Q161" s="74" t="str">
        <f t="shared" si="56"/>
        <v/>
      </c>
      <c r="R161" s="65">
        <f t="shared" si="53"/>
        <v>0</v>
      </c>
      <c r="S161" s="67" t="e">
        <f t="shared" ca="1" si="54"/>
        <v>#VALUE!</v>
      </c>
      <c r="T161" s="67" t="e">
        <f t="shared" ca="1" si="55"/>
        <v>#VALUE!</v>
      </c>
      <c r="U161" s="67" t="e">
        <f t="shared" ca="1" si="44"/>
        <v>#VALUE!</v>
      </c>
      <c r="V161" s="72" t="e">
        <f t="shared" ca="1" si="45"/>
        <v>#VALUE!</v>
      </c>
      <c r="W161" s="73" t="e">
        <f t="shared" ca="1" si="50"/>
        <v>#VALUE!</v>
      </c>
      <c r="X161" s="67"/>
    </row>
    <row r="162" spans="1:24" x14ac:dyDescent="0.35">
      <c r="A162" s="68" t="str">
        <f t="shared" si="51"/>
        <v/>
      </c>
      <c r="B162" s="64" t="str">
        <f t="shared" si="41"/>
        <v/>
      </c>
      <c r="C162" s="64" t="str">
        <f t="shared" ca="1" si="52"/>
        <v xml:space="preserve"> </v>
      </c>
      <c r="D162" s="68" t="str">
        <f t="shared" si="39"/>
        <v/>
      </c>
      <c r="E162" s="65" t="str">
        <f t="shared" si="40"/>
        <v/>
      </c>
      <c r="F162" s="65" t="str">
        <f>IF(AND(A161="",A163=""),"",IF(A162="",ROUND(SUM($F$25:F161),2),IF(A162=$D$8,$E$24-ROUND(SUM($F$25:F161),2),ROUND($E$24/$D$8,2))))</f>
        <v/>
      </c>
      <c r="G162" s="65" t="str">
        <f>IF(A161=$D$8,ROUND(SUM($G$25:G161),2),IF(A162&gt;$D$8,"",IF(T162&lt;&gt;T161,ROUND(SUM(V162*$D$9*E161/T162,W162*$D$9*E161/T161),2),ROUND(E161*$D$9*D162/T161,2))))</f>
        <v/>
      </c>
      <c r="H162" s="65" t="str">
        <f>IF(A161=$D$8,SUM($H$25:H161),IF(A161&gt;$D$8,"",F162+G162))</f>
        <v/>
      </c>
      <c r="I162" s="74" t="str">
        <f t="shared" si="42"/>
        <v/>
      </c>
      <c r="J162" s="74" t="str">
        <f t="shared" si="59"/>
        <v/>
      </c>
      <c r="K162" s="74"/>
      <c r="L162" s="74" t="str">
        <f t="shared" si="43"/>
        <v/>
      </c>
      <c r="M162" s="65" t="str">
        <f t="shared" si="57"/>
        <v/>
      </c>
      <c r="N162" s="65" t="str">
        <f t="shared" si="58"/>
        <v/>
      </c>
      <c r="O162" s="67"/>
      <c r="P162" s="70" t="str">
        <f>IF(A161=$D$8,XIRR(H$24:H161,C$24:C161),"")</f>
        <v/>
      </c>
      <c r="Q162" s="74" t="str">
        <f t="shared" si="56"/>
        <v/>
      </c>
      <c r="R162" s="65">
        <f t="shared" si="53"/>
        <v>0</v>
      </c>
      <c r="S162" s="67" t="e">
        <f t="shared" ca="1" si="54"/>
        <v>#VALUE!</v>
      </c>
      <c r="T162" s="67" t="e">
        <f t="shared" ca="1" si="55"/>
        <v>#VALUE!</v>
      </c>
      <c r="U162" s="67" t="e">
        <f t="shared" ca="1" si="44"/>
        <v>#VALUE!</v>
      </c>
      <c r="V162" s="72" t="e">
        <f t="shared" ca="1" si="45"/>
        <v>#VALUE!</v>
      </c>
      <c r="W162" s="73" t="e">
        <f t="shared" ca="1" si="50"/>
        <v>#VALUE!</v>
      </c>
      <c r="X162" s="67"/>
    </row>
    <row r="163" spans="1:24" x14ac:dyDescent="0.35">
      <c r="A163" s="68" t="str">
        <f t="shared" si="51"/>
        <v/>
      </c>
      <c r="B163" s="64" t="str">
        <f t="shared" si="41"/>
        <v/>
      </c>
      <c r="C163" s="64" t="str">
        <f t="shared" ca="1" si="52"/>
        <v xml:space="preserve"> </v>
      </c>
      <c r="D163" s="68" t="str">
        <f t="shared" si="39"/>
        <v/>
      </c>
      <c r="E163" s="65" t="str">
        <f t="shared" si="40"/>
        <v/>
      </c>
      <c r="F163" s="65" t="str">
        <f>IF(AND(A162="",A164=""),"",IF(A163="",ROUND(SUM($F$25:F162),2),IF(A163=$D$8,$E$24-ROUND(SUM($F$25:F162),2),ROUND($E$24/$D$8,2))))</f>
        <v/>
      </c>
      <c r="G163" s="65" t="str">
        <f>IF(A162=$D$8,ROUND(SUM($G$25:G162),2),IF(A163&gt;$D$8,"",IF(T163&lt;&gt;T162,ROUND(SUM(V163*$D$9*E162/T163,W163*$D$9*E162/T162),2),ROUND(E162*$D$9*D163/T162,2))))</f>
        <v/>
      </c>
      <c r="H163" s="65" t="str">
        <f>IF(A162=$D$8,SUM($H$25:H162),IF(A162&gt;$D$8,"",F163+G163))</f>
        <v/>
      </c>
      <c r="I163" s="74" t="str">
        <f t="shared" si="42"/>
        <v/>
      </c>
      <c r="J163" s="74" t="str">
        <f t="shared" si="59"/>
        <v/>
      </c>
      <c r="K163" s="74"/>
      <c r="L163" s="74" t="str">
        <f t="shared" si="43"/>
        <v/>
      </c>
      <c r="M163" s="65" t="str">
        <f t="shared" si="57"/>
        <v/>
      </c>
      <c r="N163" s="65" t="str">
        <f t="shared" si="58"/>
        <v/>
      </c>
      <c r="O163" s="67"/>
      <c r="P163" s="70" t="str">
        <f>IF(A162=$D$8,XIRR(H$24:H162,C$24:C162),"")</f>
        <v/>
      </c>
      <c r="Q163" s="74" t="str">
        <f t="shared" si="56"/>
        <v/>
      </c>
      <c r="R163" s="65">
        <f t="shared" si="53"/>
        <v>0</v>
      </c>
      <c r="S163" s="67" t="e">
        <f t="shared" ca="1" si="54"/>
        <v>#VALUE!</v>
      </c>
      <c r="T163" s="67" t="e">
        <f t="shared" ca="1" si="55"/>
        <v>#VALUE!</v>
      </c>
      <c r="U163" s="67" t="e">
        <f t="shared" ca="1" si="44"/>
        <v>#VALUE!</v>
      </c>
      <c r="V163" s="72" t="e">
        <f t="shared" ca="1" si="45"/>
        <v>#VALUE!</v>
      </c>
      <c r="W163" s="73" t="e">
        <f t="shared" ca="1" si="50"/>
        <v>#VALUE!</v>
      </c>
      <c r="X163" s="67"/>
    </row>
    <row r="164" spans="1:24" x14ac:dyDescent="0.35">
      <c r="A164" s="68" t="str">
        <f t="shared" si="51"/>
        <v/>
      </c>
      <c r="B164" s="64" t="str">
        <f t="shared" si="41"/>
        <v/>
      </c>
      <c r="C164" s="64" t="str">
        <f t="shared" ca="1" si="52"/>
        <v xml:space="preserve"> </v>
      </c>
      <c r="D164" s="68" t="str">
        <f t="shared" si="39"/>
        <v/>
      </c>
      <c r="E164" s="65" t="str">
        <f t="shared" si="40"/>
        <v/>
      </c>
      <c r="F164" s="65" t="str">
        <f>IF(AND(A163="",A165=""),"",IF(A164="",ROUND(SUM($F$25:F163),2),IF(A164=$D$8,$E$24-ROUND(SUM($F$25:F163),2),ROUND($E$24/$D$8,2))))</f>
        <v/>
      </c>
      <c r="G164" s="65" t="str">
        <f>IF(A163=$D$8,ROUND(SUM($G$25:G163),2),IF(A164&gt;$D$8,"",IF(T164&lt;&gt;T163,ROUND(SUM(V164*$D$9*E163/T164,W164*$D$9*E163/T163),2),ROUND(E163*$D$9*D164/T163,2))))</f>
        <v/>
      </c>
      <c r="H164" s="65" t="str">
        <f>IF(A163=$D$8,SUM($H$25:H163),IF(A163&gt;$D8,"",F164+G164))</f>
        <v/>
      </c>
      <c r="I164" s="74" t="str">
        <f t="shared" si="42"/>
        <v/>
      </c>
      <c r="J164" s="74" t="str">
        <f t="shared" si="59"/>
        <v/>
      </c>
      <c r="K164" s="74"/>
      <c r="L164" s="74" t="str">
        <f t="shared" si="43"/>
        <v/>
      </c>
      <c r="M164" s="65" t="str">
        <f t="shared" si="57"/>
        <v/>
      </c>
      <c r="N164" s="65" t="str">
        <f t="shared" si="58"/>
        <v/>
      </c>
      <c r="O164" s="67"/>
      <c r="P164" s="70" t="str">
        <f>IF(A163=$D$8,XIRR(H$24:H163,C$24:C163),"")</f>
        <v/>
      </c>
      <c r="Q164" s="74" t="str">
        <f t="shared" si="56"/>
        <v/>
      </c>
      <c r="R164" s="65">
        <f t="shared" si="53"/>
        <v>0</v>
      </c>
      <c r="S164" s="67" t="e">
        <f t="shared" ca="1" si="54"/>
        <v>#VALUE!</v>
      </c>
      <c r="T164" s="67" t="e">
        <f t="shared" ca="1" si="55"/>
        <v>#VALUE!</v>
      </c>
      <c r="U164" s="67" t="e">
        <f t="shared" ca="1" si="44"/>
        <v>#VALUE!</v>
      </c>
      <c r="V164" s="72" t="e">
        <f t="shared" ca="1" si="45"/>
        <v>#VALUE!</v>
      </c>
      <c r="W164" s="73" t="e">
        <f t="shared" ca="1" si="50"/>
        <v>#VALUE!</v>
      </c>
      <c r="X164" s="67"/>
    </row>
    <row r="165" spans="1:24" x14ac:dyDescent="0.35">
      <c r="A165" s="68" t="str">
        <f t="shared" si="51"/>
        <v/>
      </c>
      <c r="B165" s="64" t="str">
        <f t="shared" si="41"/>
        <v/>
      </c>
      <c r="C165" s="64" t="str">
        <f t="shared" ca="1" si="52"/>
        <v xml:space="preserve"> </v>
      </c>
      <c r="D165" s="68" t="str">
        <f t="shared" ref="D165:D228" si="60">IF(A165&gt;$D$8,"",C165-C164)</f>
        <v/>
      </c>
      <c r="E165" s="65" t="str">
        <f t="shared" ref="E165:E228" si="61">IF(A165&gt;$D$8,"",E164-F165)</f>
        <v/>
      </c>
      <c r="F165" s="65" t="str">
        <f>IF(AND(A164="",A166=""),"",IF(A165="",ROUND(SUM($F$25:F164),2),IF(A165=$D$8,$E$24-ROUND(SUM($F$25:F164),2),ROUND($E$24/$D$8,2))))</f>
        <v/>
      </c>
      <c r="G165" s="65" t="str">
        <f>IF(A164=$D$8,ROUND(SUM($G$25:G164),2),IF(A165&gt;$D$8,"",IF(T165&lt;&gt;T164,ROUND(SUM(V165*$D$9*E164/T165,W165*$D$9*E164/T164),2),ROUND(E164*$D$9*D165/T164,2))))</f>
        <v/>
      </c>
      <c r="H165" s="65" t="str">
        <f>IF(A164=$D$8,SUM($H$25:H164),IF(A164&gt;$D$8,"",F165+G165))</f>
        <v/>
      </c>
      <c r="I165" s="74" t="str">
        <f t="shared" si="42"/>
        <v/>
      </c>
      <c r="J165" s="74" t="str">
        <f t="shared" si="59"/>
        <v/>
      </c>
      <c r="K165" s="74"/>
      <c r="L165" s="74" t="str">
        <f t="shared" si="43"/>
        <v/>
      </c>
      <c r="M165" s="65" t="str">
        <f t="shared" si="57"/>
        <v/>
      </c>
      <c r="N165" s="65" t="str">
        <f t="shared" si="58"/>
        <v/>
      </c>
      <c r="O165" s="67"/>
      <c r="P165" s="70" t="str">
        <f>IF(A164=$D$8,XIRR(H$24:H164,C$24:C164),"")</f>
        <v/>
      </c>
      <c r="Q165" s="74" t="str">
        <f t="shared" si="56"/>
        <v/>
      </c>
      <c r="R165" s="65">
        <f t="shared" si="53"/>
        <v>0</v>
      </c>
      <c r="S165" s="67" t="e">
        <f t="shared" ca="1" si="54"/>
        <v>#VALUE!</v>
      </c>
      <c r="T165" s="67" t="e">
        <f t="shared" ca="1" si="55"/>
        <v>#VALUE!</v>
      </c>
      <c r="U165" s="67" t="e">
        <f t="shared" ca="1" si="44"/>
        <v>#VALUE!</v>
      </c>
      <c r="V165" s="72" t="e">
        <f t="shared" ca="1" si="45"/>
        <v>#VALUE!</v>
      </c>
      <c r="W165" s="73" t="e">
        <f t="shared" ca="1" si="50"/>
        <v>#VALUE!</v>
      </c>
      <c r="X165" s="67"/>
    </row>
    <row r="166" spans="1:24" x14ac:dyDescent="0.35">
      <c r="A166" s="68" t="str">
        <f t="shared" si="51"/>
        <v/>
      </c>
      <c r="B166" s="64" t="str">
        <f t="shared" ref="B166:B229" si="62">IF(A166="","",EDATE($B$24,A166))</f>
        <v/>
      </c>
      <c r="C166" s="64" t="str">
        <f t="shared" ca="1" si="52"/>
        <v xml:space="preserve"> </v>
      </c>
      <c r="D166" s="68" t="str">
        <f t="shared" si="60"/>
        <v/>
      </c>
      <c r="E166" s="65" t="str">
        <f t="shared" si="61"/>
        <v/>
      </c>
      <c r="F166" s="65" t="str">
        <f>IF(AND(A165="",A167=""),"",IF(A166="",ROUND(SUM($F$25:F165),2),IF(A166=$D$8,$E$24-ROUND(SUM($F$25:F165),2),ROUND($E$24/$D$8,2))))</f>
        <v/>
      </c>
      <c r="G166" s="65" t="str">
        <f>IF(A165=$D$8,ROUND(SUM($G$25:G165),2),IF(A166&gt;$D$8,"",IF(T166&lt;&gt;T165,ROUND(SUM(V166*$D$9*E165/T166,W166*$D$9*E165/T165),2),ROUND(E165*$D$9*D166/T165,2))))</f>
        <v/>
      </c>
      <c r="H166" s="65" t="str">
        <f>IF(A165=$D$8,SUM($H$25:H165),IF(A165&gt;$D$8,"",F166+G166))</f>
        <v/>
      </c>
      <c r="I166" s="74" t="str">
        <f t="shared" ref="I166:I229" si="63">IF(A165=$D$8,$I$24,"")</f>
        <v/>
      </c>
      <c r="J166" s="74" t="str">
        <f t="shared" si="59"/>
        <v/>
      </c>
      <c r="K166" s="74"/>
      <c r="L166" s="74" t="str">
        <f t="shared" ref="L166:L229" si="64">IF(A165=$D$8,$L$24,"")</f>
        <v/>
      </c>
      <c r="M166" s="65" t="str">
        <f t="shared" si="57"/>
        <v/>
      </c>
      <c r="N166" s="65" t="str">
        <f t="shared" si="58"/>
        <v/>
      </c>
      <c r="O166" s="67"/>
      <c r="P166" s="70" t="str">
        <f>IF(A165=$D$8,XIRR(H$24:H165,C$24:C165),"")</f>
        <v/>
      </c>
      <c r="Q166" s="74" t="str">
        <f t="shared" si="56"/>
        <v/>
      </c>
      <c r="R166" s="65">
        <f t="shared" si="53"/>
        <v>0</v>
      </c>
      <c r="S166" s="67" t="e">
        <f t="shared" ca="1" si="54"/>
        <v>#VALUE!</v>
      </c>
      <c r="T166" s="67" t="e">
        <f t="shared" ca="1" si="55"/>
        <v>#VALUE!</v>
      </c>
      <c r="U166" s="67" t="e">
        <f t="shared" ca="1" si="44"/>
        <v>#VALUE!</v>
      </c>
      <c r="V166" s="72" t="e">
        <f t="shared" ca="1" si="45"/>
        <v>#VALUE!</v>
      </c>
      <c r="W166" s="73" t="e">
        <f t="shared" ca="1" si="50"/>
        <v>#VALUE!</v>
      </c>
      <c r="X166" s="67"/>
    </row>
    <row r="167" spans="1:24" x14ac:dyDescent="0.35">
      <c r="A167" s="68" t="str">
        <f t="shared" si="51"/>
        <v/>
      </c>
      <c r="B167" s="64" t="str">
        <f t="shared" si="62"/>
        <v/>
      </c>
      <c r="C167" s="64" t="str">
        <f t="shared" ca="1" si="52"/>
        <v xml:space="preserve"> </v>
      </c>
      <c r="D167" s="68" t="str">
        <f t="shared" si="60"/>
        <v/>
      </c>
      <c r="E167" s="65" t="str">
        <f t="shared" si="61"/>
        <v/>
      </c>
      <c r="F167" s="65" t="str">
        <f>IF(AND(A166="",A168=""),"",IF(A167="",ROUND(SUM($F$25:F166),2),IF(A167=$D$8,$E$24-ROUND(SUM($F$25:F166),2),ROUND($E$24/$D$8,2))))</f>
        <v/>
      </c>
      <c r="G167" s="65" t="str">
        <f>IF(A166=$D$8,ROUND(SUM($G$25:G166),2),IF(A167&gt;$D$8,"",IF(T167&lt;&gt;T166,ROUND(SUM(V167*$D$9*E166/T167,W167*$D$9*E166/T166),2),ROUND(E166*$D$9*D167/T166,2))))</f>
        <v/>
      </c>
      <c r="H167" s="65" t="str">
        <f>IF(A166=$D$8,SUM($H$25:H166),IF(A166&gt;$D$8,"",F167+G167))</f>
        <v/>
      </c>
      <c r="I167" s="74" t="str">
        <f t="shared" si="63"/>
        <v/>
      </c>
      <c r="J167" s="74" t="str">
        <f t="shared" si="59"/>
        <v/>
      </c>
      <c r="K167" s="74"/>
      <c r="L167" s="74" t="str">
        <f t="shared" si="64"/>
        <v/>
      </c>
      <c r="M167" s="65" t="str">
        <f t="shared" si="57"/>
        <v/>
      </c>
      <c r="N167" s="65" t="str">
        <f t="shared" si="58"/>
        <v/>
      </c>
      <c r="O167" s="67"/>
      <c r="P167" s="70" t="str">
        <f>IF(A166=$D$8,XIRR(H$24:H166,C$24:C166),"")</f>
        <v/>
      </c>
      <c r="Q167" s="74" t="str">
        <f t="shared" si="56"/>
        <v/>
      </c>
      <c r="R167" s="65">
        <f t="shared" si="53"/>
        <v>0</v>
      </c>
      <c r="S167" s="67" t="e">
        <f t="shared" ca="1" si="54"/>
        <v>#VALUE!</v>
      </c>
      <c r="T167" s="67" t="e">
        <f t="shared" ca="1" si="55"/>
        <v>#VALUE!</v>
      </c>
      <c r="U167" s="67" t="e">
        <f t="shared" ca="1" si="44"/>
        <v>#VALUE!</v>
      </c>
      <c r="V167" s="72" t="e">
        <f t="shared" ca="1" si="45"/>
        <v>#VALUE!</v>
      </c>
      <c r="W167" s="73" t="e">
        <f t="shared" ca="1" si="50"/>
        <v>#VALUE!</v>
      </c>
      <c r="X167" s="67"/>
    </row>
    <row r="168" spans="1:24" x14ac:dyDescent="0.35">
      <c r="A168" s="68" t="str">
        <f t="shared" si="51"/>
        <v/>
      </c>
      <c r="B168" s="64" t="str">
        <f t="shared" si="62"/>
        <v/>
      </c>
      <c r="C168" s="64" t="str">
        <f t="shared" ca="1" si="52"/>
        <v xml:space="preserve"> </v>
      </c>
      <c r="D168" s="68" t="str">
        <f t="shared" si="60"/>
        <v/>
      </c>
      <c r="E168" s="65" t="str">
        <f t="shared" si="61"/>
        <v/>
      </c>
      <c r="F168" s="65" t="str">
        <f>IF(AND(A167="",A169=""),"",IF(A168="",ROUND(SUM($F$25:F167),2),IF(A168=$D$8,$E$24-ROUND(SUM($F$25:F167),2),ROUND($E$24/$D$8,2))))</f>
        <v/>
      </c>
      <c r="G168" s="65" t="str">
        <f>IF(A167=$D$8,ROUND(SUM($G$25:G167),2),IF(A168&gt;$D$8,"",IF(T168&lt;&gt;T167,ROUND(SUM(V168*$D$9*E167/T168,W168*$D$9*E167/T167),2),ROUND(E167*$D$9*D168/T167,2))))</f>
        <v/>
      </c>
      <c r="H168" s="65" t="str">
        <f>IF(A167=$D$8,SUM($H$25:H167),IF(A167&gt;$D$8,"",F168+G168))</f>
        <v/>
      </c>
      <c r="I168" s="74" t="str">
        <f t="shared" si="63"/>
        <v/>
      </c>
      <c r="J168" s="74" t="str">
        <f t="shared" si="59"/>
        <v/>
      </c>
      <c r="K168" s="74"/>
      <c r="L168" s="74" t="str">
        <f t="shared" si="64"/>
        <v/>
      </c>
      <c r="M168" s="65" t="str">
        <f t="shared" si="57"/>
        <v/>
      </c>
      <c r="N168" s="65" t="str">
        <f t="shared" si="58"/>
        <v/>
      </c>
      <c r="O168" s="67"/>
      <c r="P168" s="70" t="str">
        <f>IF(A167=$D$8,XIRR(H$24:H167,C$24:C167),"")</f>
        <v/>
      </c>
      <c r="Q168" s="74" t="str">
        <f t="shared" si="56"/>
        <v/>
      </c>
      <c r="R168" s="65">
        <f t="shared" si="53"/>
        <v>0</v>
      </c>
      <c r="S168" s="67" t="e">
        <f t="shared" ca="1" si="54"/>
        <v>#VALUE!</v>
      </c>
      <c r="T168" s="67" t="e">
        <f t="shared" ca="1" si="55"/>
        <v>#VALUE!</v>
      </c>
      <c r="U168" s="67" t="e">
        <f t="shared" ca="1" si="44"/>
        <v>#VALUE!</v>
      </c>
      <c r="V168" s="72" t="e">
        <f t="shared" ca="1" si="45"/>
        <v>#VALUE!</v>
      </c>
      <c r="W168" s="73" t="e">
        <f t="shared" ca="1" si="50"/>
        <v>#VALUE!</v>
      </c>
      <c r="X168" s="67"/>
    </row>
    <row r="169" spans="1:24" x14ac:dyDescent="0.35">
      <c r="A169" s="68" t="str">
        <f t="shared" si="51"/>
        <v/>
      </c>
      <c r="B169" s="64" t="str">
        <f t="shared" si="62"/>
        <v/>
      </c>
      <c r="C169" s="64" t="str">
        <f t="shared" ca="1" si="52"/>
        <v xml:space="preserve"> </v>
      </c>
      <c r="D169" s="68" t="str">
        <f t="shared" si="60"/>
        <v/>
      </c>
      <c r="E169" s="65" t="str">
        <f t="shared" si="61"/>
        <v/>
      </c>
      <c r="F169" s="65" t="str">
        <f>IF(AND(A168="",A170=""),"",IF(A169="",ROUND(SUM($F$25:F168),2),IF(A169=$D$8,$E$24-ROUND(SUM($F$25:F168),2),ROUND($E$24/$D$8,2))))</f>
        <v/>
      </c>
      <c r="G169" s="65" t="str">
        <f>IF(A168=$D$8,ROUND(SUM($G$25:G168),2),IF(A169&gt;$D$8,"",IF(T169&lt;&gt;T168,ROUND(SUM(V169*$D$9*E168/T169,W169*$D$9*E168/T168),2),ROUND(E168*$D$9*D169/T168,2))))</f>
        <v/>
      </c>
      <c r="H169" s="65" t="str">
        <f>IF(A168=$D$8,SUM($H$25:H168),IF(A168&gt;$D$8,"",F169+G169))</f>
        <v/>
      </c>
      <c r="I169" s="74" t="str">
        <f t="shared" si="63"/>
        <v/>
      </c>
      <c r="J169" s="74" t="str">
        <f>IF($D$8&gt;A168,$N$9,IF($D$8=A168,SUM($J$24:J168)," "))</f>
        <v xml:space="preserve"> </v>
      </c>
      <c r="K169" s="74" t="str">
        <f>IF($D$8&gt;A168,($O$8+$N$10*E168),IF(A168=$D$8,$K$37+$K$24+$K$49+$K$61+$K$73+$K$85+$K$97+$K$109+$K$121+$K$133+$K$145+$K$157,""))</f>
        <v/>
      </c>
      <c r="L169" s="74" t="str">
        <f t="shared" si="64"/>
        <v/>
      </c>
      <c r="M169" s="65" t="str">
        <f t="shared" si="57"/>
        <v/>
      </c>
      <c r="N169" s="65" t="str">
        <f t="shared" si="58"/>
        <v/>
      </c>
      <c r="O169" s="67"/>
      <c r="P169" s="70" t="str">
        <f>IF(A168=$D$8,XIRR(H$24:H168,C$24:C168),"")</f>
        <v/>
      </c>
      <c r="Q169" s="74" t="str">
        <f t="shared" si="56"/>
        <v/>
      </c>
      <c r="R169" s="65">
        <f t="shared" si="53"/>
        <v>0</v>
      </c>
      <c r="S169" s="67" t="e">
        <f t="shared" ca="1" si="54"/>
        <v>#VALUE!</v>
      </c>
      <c r="T169" s="67" t="e">
        <f t="shared" ca="1" si="55"/>
        <v>#VALUE!</v>
      </c>
      <c r="U169" s="67" t="e">
        <f t="shared" ca="1" si="44"/>
        <v>#VALUE!</v>
      </c>
      <c r="V169" s="72" t="e">
        <f t="shared" ca="1" si="45"/>
        <v>#VALUE!</v>
      </c>
      <c r="W169" s="73" t="e">
        <f t="shared" ca="1" si="50"/>
        <v>#VALUE!</v>
      </c>
      <c r="X169" s="67"/>
    </row>
    <row r="170" spans="1:24" x14ac:dyDescent="0.35">
      <c r="A170" s="68" t="str">
        <f t="shared" si="51"/>
        <v/>
      </c>
      <c r="B170" s="64" t="str">
        <f t="shared" si="62"/>
        <v/>
      </c>
      <c r="C170" s="64" t="str">
        <f t="shared" ca="1" si="52"/>
        <v xml:space="preserve"> </v>
      </c>
      <c r="D170" s="68" t="str">
        <f t="shared" si="60"/>
        <v/>
      </c>
      <c r="E170" s="65" t="str">
        <f t="shared" si="61"/>
        <v/>
      </c>
      <c r="F170" s="65" t="str">
        <f>IF(AND(A169="",A171=""),"",IF(A170="",ROUND(SUM($F$25:F169),2),IF(A170=$D$8,$E$24-ROUND(SUM($F$25:F169),2),ROUND($E$24/$D$8,2))))</f>
        <v/>
      </c>
      <c r="G170" s="65" t="str">
        <f>IF(A169=$D$8,ROUND(SUM($G$25:G169),2),IF(A170&gt;$D$8,"",IF(T170&lt;&gt;T169,ROUND(SUM(V170*$D$9*E169/T170,W170*$D$9*E169/T169),2),ROUND(E169*$D$9*D170/T169,2))))</f>
        <v/>
      </c>
      <c r="H170" s="65" t="str">
        <f>IF(A169=$D$8,SUM($H$25:H169),IF(A169&gt;$D$8,"",F170+G170))</f>
        <v/>
      </c>
      <c r="I170" s="74" t="str">
        <f t="shared" si="63"/>
        <v/>
      </c>
      <c r="J170" s="74" t="str">
        <f t="shared" ref="J170:J180" si="65">IF(A169=$D$8,$J$24,"")</f>
        <v/>
      </c>
      <c r="K170" s="74"/>
      <c r="L170" s="74" t="str">
        <f t="shared" si="64"/>
        <v/>
      </c>
      <c r="M170" s="65" t="str">
        <f t="shared" si="57"/>
        <v/>
      </c>
      <c r="N170" s="65" t="str">
        <f t="shared" si="58"/>
        <v/>
      </c>
      <c r="O170" s="67"/>
      <c r="P170" s="70" t="str">
        <f>IF(A169=$D$8,XIRR(H$24:H169,C$24:C169),"")</f>
        <v/>
      </c>
      <c r="Q170" s="74" t="str">
        <f t="shared" si="56"/>
        <v/>
      </c>
      <c r="R170" s="65">
        <f t="shared" si="53"/>
        <v>0</v>
      </c>
      <c r="S170" s="67" t="e">
        <f t="shared" ca="1" si="54"/>
        <v>#VALUE!</v>
      </c>
      <c r="T170" s="67" t="e">
        <f t="shared" ca="1" si="55"/>
        <v>#VALUE!</v>
      </c>
      <c r="U170" s="67" t="e">
        <f t="shared" ca="1" si="44"/>
        <v>#VALUE!</v>
      </c>
      <c r="V170" s="72" t="e">
        <f t="shared" ca="1" si="45"/>
        <v>#VALUE!</v>
      </c>
      <c r="W170" s="73" t="e">
        <f t="shared" ca="1" si="50"/>
        <v>#VALUE!</v>
      </c>
      <c r="X170" s="67"/>
    </row>
    <row r="171" spans="1:24" x14ac:dyDescent="0.35">
      <c r="A171" s="68" t="str">
        <f t="shared" si="51"/>
        <v/>
      </c>
      <c r="B171" s="64" t="str">
        <f t="shared" si="62"/>
        <v/>
      </c>
      <c r="C171" s="64" t="str">
        <f t="shared" ca="1" si="52"/>
        <v xml:space="preserve"> </v>
      </c>
      <c r="D171" s="68" t="str">
        <f t="shared" si="60"/>
        <v/>
      </c>
      <c r="E171" s="65" t="str">
        <f t="shared" si="61"/>
        <v/>
      </c>
      <c r="F171" s="65" t="str">
        <f>IF(AND(A170="",A172=""),"",IF(A171="",ROUND(SUM($F$25:F170),2),IF(A171=$D$8,$E$24-ROUND(SUM($F$25:F170),2),ROUND($E$24/$D$8,2))))</f>
        <v/>
      </c>
      <c r="G171" s="65" t="str">
        <f>IF(A170=$D$8,ROUND(SUM($G$25:G170),2),IF(A171&gt;$D$8,"",IF(T171&lt;&gt;T170,ROUND(SUM(V171*$D$9*E170/T171,W171*$D$9*E170/T170),2),ROUND(E170*$D$9*D171/T170,2))))</f>
        <v/>
      </c>
      <c r="H171" s="65" t="str">
        <f>IF(A170=$D$8,SUM($H$25:H170),IF(A170&gt;$D$8,"",F171+G171))</f>
        <v/>
      </c>
      <c r="I171" s="74" t="str">
        <f t="shared" si="63"/>
        <v/>
      </c>
      <c r="J171" s="74" t="str">
        <f t="shared" si="65"/>
        <v/>
      </c>
      <c r="K171" s="74"/>
      <c r="L171" s="74" t="str">
        <f t="shared" si="64"/>
        <v/>
      </c>
      <c r="M171" s="65" t="str">
        <f t="shared" si="57"/>
        <v/>
      </c>
      <c r="N171" s="65" t="str">
        <f t="shared" si="58"/>
        <v/>
      </c>
      <c r="O171" s="67"/>
      <c r="P171" s="70" t="str">
        <f>IF(A170=$D$8,XIRR(H$24:H170,C$24:C170),"")</f>
        <v/>
      </c>
      <c r="Q171" s="74" t="str">
        <f t="shared" si="56"/>
        <v/>
      </c>
      <c r="R171" s="65">
        <f t="shared" si="53"/>
        <v>0</v>
      </c>
      <c r="S171" s="67" t="e">
        <f t="shared" ca="1" si="54"/>
        <v>#VALUE!</v>
      </c>
      <c r="T171" s="67" t="e">
        <f t="shared" ca="1" si="55"/>
        <v>#VALUE!</v>
      </c>
      <c r="U171" s="67" t="e">
        <f t="shared" ca="1" si="44"/>
        <v>#VALUE!</v>
      </c>
      <c r="V171" s="72" t="e">
        <f t="shared" ca="1" si="45"/>
        <v>#VALUE!</v>
      </c>
      <c r="W171" s="73" t="e">
        <f t="shared" ca="1" si="50"/>
        <v>#VALUE!</v>
      </c>
      <c r="X171" s="67"/>
    </row>
    <row r="172" spans="1:24" x14ac:dyDescent="0.35">
      <c r="A172" s="68" t="str">
        <f t="shared" si="51"/>
        <v/>
      </c>
      <c r="B172" s="64" t="str">
        <f t="shared" si="62"/>
        <v/>
      </c>
      <c r="C172" s="64" t="str">
        <f t="shared" ca="1" si="52"/>
        <v xml:space="preserve"> </v>
      </c>
      <c r="D172" s="68" t="str">
        <f t="shared" si="60"/>
        <v/>
      </c>
      <c r="E172" s="65" t="str">
        <f t="shared" si="61"/>
        <v/>
      </c>
      <c r="F172" s="65" t="str">
        <f>IF(AND(A171="",A173=""),"",IF(A172="",ROUND(SUM($F$25:F171),2),IF(A172=$D$8,$E$24-ROUND(SUM($F$25:F171),2),ROUND($E$24/$D$8,2))))</f>
        <v/>
      </c>
      <c r="G172" s="65" t="str">
        <f>IF(A171=$D$8,ROUND(SUM($G$25:G171),2),IF(A172&gt;$D$8,"",IF(T172&lt;&gt;T171,ROUND(SUM(V172*$D$9*E171/T172,W172*$D$9*E171/T171),2),ROUND(E171*$D$9*D172/T171,2))))</f>
        <v/>
      </c>
      <c r="H172" s="65" t="str">
        <f>IF(A171=$D$8,SUM($H$25:H171),IF(A171&gt;$D$8,"",F172+G172))</f>
        <v/>
      </c>
      <c r="I172" s="74" t="str">
        <f t="shared" si="63"/>
        <v/>
      </c>
      <c r="J172" s="74" t="str">
        <f t="shared" si="65"/>
        <v/>
      </c>
      <c r="K172" s="74"/>
      <c r="L172" s="74" t="str">
        <f t="shared" si="64"/>
        <v/>
      </c>
      <c r="M172" s="65" t="str">
        <f t="shared" si="57"/>
        <v/>
      </c>
      <c r="N172" s="65" t="str">
        <f t="shared" si="58"/>
        <v/>
      </c>
      <c r="O172" s="67"/>
      <c r="P172" s="70" t="str">
        <f>IF(A171=$D$8,XIRR(H$24:H171,C$24:C171),"")</f>
        <v/>
      </c>
      <c r="Q172" s="74" t="str">
        <f t="shared" si="56"/>
        <v/>
      </c>
      <c r="R172" s="65">
        <f t="shared" si="53"/>
        <v>0</v>
      </c>
      <c r="S172" s="67" t="e">
        <f t="shared" ca="1" si="54"/>
        <v>#VALUE!</v>
      </c>
      <c r="T172" s="67" t="e">
        <f t="shared" ca="1" si="55"/>
        <v>#VALUE!</v>
      </c>
      <c r="U172" s="67" t="e">
        <f t="shared" ca="1" si="44"/>
        <v>#VALUE!</v>
      </c>
      <c r="V172" s="72" t="e">
        <f t="shared" ca="1" si="45"/>
        <v>#VALUE!</v>
      </c>
      <c r="W172" s="73" t="e">
        <f t="shared" ca="1" si="50"/>
        <v>#VALUE!</v>
      </c>
      <c r="X172" s="67"/>
    </row>
    <row r="173" spans="1:24" x14ac:dyDescent="0.35">
      <c r="A173" s="68" t="str">
        <f t="shared" si="51"/>
        <v/>
      </c>
      <c r="B173" s="64" t="str">
        <f t="shared" si="62"/>
        <v/>
      </c>
      <c r="C173" s="64" t="str">
        <f t="shared" ca="1" si="52"/>
        <v xml:space="preserve"> </v>
      </c>
      <c r="D173" s="68" t="str">
        <f t="shared" si="60"/>
        <v/>
      </c>
      <c r="E173" s="65" t="str">
        <f t="shared" si="61"/>
        <v/>
      </c>
      <c r="F173" s="65" t="str">
        <f>IF(AND(A172="",A174=""),"",IF(A173="",ROUND(SUM($F$25:F172),2),IF(A173=$D$8,$E$24-ROUND(SUM($F$25:F172),2),ROUND($E$24/$D$8,2))))</f>
        <v/>
      </c>
      <c r="G173" s="65" t="str">
        <f>IF(A172=$D$8,ROUND(SUM($G$25:G172),2),IF(A173&gt;$D$8,"",IF(T173&lt;&gt;T172,ROUND(SUM(V173*$D$9*E172/T173,W173*$D$9*E172/T172),2),ROUND(E172*$D$9*D173/T172,2))))</f>
        <v/>
      </c>
      <c r="H173" s="65" t="str">
        <f>IF(A172=$D$8,SUM($H$25:H172),IF(A172&gt;$D$8,"",F173+G173))</f>
        <v/>
      </c>
      <c r="I173" s="74" t="str">
        <f t="shared" si="63"/>
        <v/>
      </c>
      <c r="J173" s="74" t="str">
        <f t="shared" si="65"/>
        <v/>
      </c>
      <c r="K173" s="74"/>
      <c r="L173" s="74" t="str">
        <f t="shared" si="64"/>
        <v/>
      </c>
      <c r="M173" s="65" t="str">
        <f t="shared" si="57"/>
        <v/>
      </c>
      <c r="N173" s="65" t="str">
        <f t="shared" si="58"/>
        <v/>
      </c>
      <c r="O173" s="67"/>
      <c r="P173" s="70" t="str">
        <f>IF(A172=$D$8,XIRR(H$24:H172,C$24:C172),"")</f>
        <v/>
      </c>
      <c r="Q173" s="74" t="str">
        <f t="shared" si="56"/>
        <v/>
      </c>
      <c r="R173" s="65">
        <f t="shared" si="53"/>
        <v>0</v>
      </c>
      <c r="S173" s="67" t="e">
        <f t="shared" ca="1" si="54"/>
        <v>#VALUE!</v>
      </c>
      <c r="T173" s="67" t="e">
        <f t="shared" ca="1" si="55"/>
        <v>#VALUE!</v>
      </c>
      <c r="U173" s="67" t="e">
        <f t="shared" ref="U173:U236" ca="1" si="66">IF(C173="","",DAY(C173))</f>
        <v>#VALUE!</v>
      </c>
      <c r="V173" s="72" t="e">
        <f t="shared" ref="V173:V236" ca="1" si="67">U173-1</f>
        <v>#VALUE!</v>
      </c>
      <c r="W173" s="73" t="e">
        <f t="shared" ca="1" si="50"/>
        <v>#VALUE!</v>
      </c>
      <c r="X173" s="67"/>
    </row>
    <row r="174" spans="1:24" x14ac:dyDescent="0.35">
      <c r="A174" s="68" t="str">
        <f t="shared" si="51"/>
        <v/>
      </c>
      <c r="B174" s="64" t="str">
        <f t="shared" si="62"/>
        <v/>
      </c>
      <c r="C174" s="64" t="str">
        <f t="shared" ca="1" si="52"/>
        <v xml:space="preserve"> </v>
      </c>
      <c r="D174" s="68" t="str">
        <f t="shared" si="60"/>
        <v/>
      </c>
      <c r="E174" s="65" t="str">
        <f t="shared" si="61"/>
        <v/>
      </c>
      <c r="F174" s="65" t="str">
        <f>IF(AND(A173="",A175=""),"",IF(A174="",ROUND(SUM($F$25:F173),2),IF(A174=$D$8,$E$24-ROUND(SUM($F$25:F173),2),ROUND($E$24/$D$8,2))))</f>
        <v/>
      </c>
      <c r="G174" s="65" t="str">
        <f>IF(A173=$D$8,ROUND(SUM($G$25:G173),2),IF(A174&gt;$D$8,"",IF(T174&lt;&gt;T173,ROUND(SUM(V174*$D$9*E173/T174,W174*$D$9*E173/T173),2),ROUND(E173*$D$9*D174/T173,2))))</f>
        <v/>
      </c>
      <c r="H174" s="65" t="str">
        <f>IF(A173=$D$8,SUM($H$25:H173),IF(A173&gt;$D$8,"",F174+G174))</f>
        <v/>
      </c>
      <c r="I174" s="74" t="str">
        <f t="shared" si="63"/>
        <v/>
      </c>
      <c r="J174" s="74" t="str">
        <f t="shared" si="65"/>
        <v/>
      </c>
      <c r="K174" s="74"/>
      <c r="L174" s="74" t="str">
        <f t="shared" si="64"/>
        <v/>
      </c>
      <c r="M174" s="65" t="str">
        <f t="shared" si="57"/>
        <v/>
      </c>
      <c r="N174" s="65" t="str">
        <f t="shared" si="58"/>
        <v/>
      </c>
      <c r="O174" s="67"/>
      <c r="P174" s="70" t="str">
        <f>IF(A173=$D$8,XIRR(H$24:H173,C$24:C173),"")</f>
        <v/>
      </c>
      <c r="Q174" s="74" t="str">
        <f t="shared" si="56"/>
        <v/>
      </c>
      <c r="R174" s="65">
        <f t="shared" si="53"/>
        <v>0</v>
      </c>
      <c r="S174" s="67" t="e">
        <f t="shared" ca="1" si="54"/>
        <v>#VALUE!</v>
      </c>
      <c r="T174" s="67" t="e">
        <f t="shared" ca="1" si="55"/>
        <v>#VALUE!</v>
      </c>
      <c r="U174" s="67" t="e">
        <f t="shared" ca="1" si="66"/>
        <v>#VALUE!</v>
      </c>
      <c r="V174" s="72" t="e">
        <f t="shared" ca="1" si="67"/>
        <v>#VALUE!</v>
      </c>
      <c r="W174" s="73" t="e">
        <f t="shared" ca="1" si="50"/>
        <v>#VALUE!</v>
      </c>
      <c r="X174" s="67"/>
    </row>
    <row r="175" spans="1:24" x14ac:dyDescent="0.35">
      <c r="A175" s="68" t="str">
        <f t="shared" si="51"/>
        <v/>
      </c>
      <c r="B175" s="64" t="str">
        <f t="shared" si="62"/>
        <v/>
      </c>
      <c r="C175" s="64" t="str">
        <f t="shared" ca="1" si="52"/>
        <v xml:space="preserve"> </v>
      </c>
      <c r="D175" s="68" t="str">
        <f t="shared" si="60"/>
        <v/>
      </c>
      <c r="E175" s="65" t="str">
        <f t="shared" si="61"/>
        <v/>
      </c>
      <c r="F175" s="65" t="str">
        <f>IF(AND(A174="",A176=""),"",IF(A175="",ROUND(SUM($F$25:F174),2),IF(A175=$D$8,$E$24-ROUND(SUM($F$25:F174),2),ROUND($E$24/$D$8,2))))</f>
        <v/>
      </c>
      <c r="G175" s="65" t="str">
        <f>IF(A174=$D$8,ROUND(SUM($G$25:G174),2),IF(A175&gt;$D$8,"",IF(T175&lt;&gt;T174,ROUND(SUM(V175*$D$9*E174/T175,W175*$D$9*E174/T174),2),ROUND(E174*$D$9*D175/T174,2))))</f>
        <v/>
      </c>
      <c r="H175" s="65" t="str">
        <f>IF(A174=$D$8,SUM($H$25:H174),IF(A174&gt;$D$8,"",F175+G175))</f>
        <v/>
      </c>
      <c r="I175" s="74" t="str">
        <f t="shared" si="63"/>
        <v/>
      </c>
      <c r="J175" s="74" t="str">
        <f t="shared" si="65"/>
        <v/>
      </c>
      <c r="K175" s="74"/>
      <c r="L175" s="74" t="str">
        <f t="shared" si="64"/>
        <v/>
      </c>
      <c r="M175" s="65" t="str">
        <f t="shared" si="57"/>
        <v/>
      </c>
      <c r="N175" s="65" t="str">
        <f t="shared" si="58"/>
        <v/>
      </c>
      <c r="O175" s="67"/>
      <c r="P175" s="70" t="str">
        <f>IF(A174=$D$8,XIRR(H$24:H174,C$24:C174),"")</f>
        <v/>
      </c>
      <c r="Q175" s="74" t="str">
        <f t="shared" si="56"/>
        <v/>
      </c>
      <c r="R175" s="65">
        <f t="shared" si="53"/>
        <v>0</v>
      </c>
      <c r="S175" s="67" t="e">
        <f t="shared" ca="1" si="54"/>
        <v>#VALUE!</v>
      </c>
      <c r="T175" s="67" t="e">
        <f t="shared" ca="1" si="55"/>
        <v>#VALUE!</v>
      </c>
      <c r="U175" s="67" t="e">
        <f t="shared" ca="1" si="66"/>
        <v>#VALUE!</v>
      </c>
      <c r="V175" s="72" t="e">
        <f t="shared" ca="1" si="67"/>
        <v>#VALUE!</v>
      </c>
      <c r="W175" s="73" t="e">
        <f t="shared" ca="1" si="50"/>
        <v>#VALUE!</v>
      </c>
      <c r="X175" s="67"/>
    </row>
    <row r="176" spans="1:24" x14ac:dyDescent="0.35">
      <c r="A176" s="68" t="str">
        <f t="shared" si="51"/>
        <v/>
      </c>
      <c r="B176" s="64" t="str">
        <f t="shared" si="62"/>
        <v/>
      </c>
      <c r="C176" s="64" t="str">
        <f t="shared" ca="1" si="52"/>
        <v xml:space="preserve"> </v>
      </c>
      <c r="D176" s="68" t="str">
        <f t="shared" si="60"/>
        <v/>
      </c>
      <c r="E176" s="65" t="str">
        <f t="shared" si="61"/>
        <v/>
      </c>
      <c r="F176" s="65" t="str">
        <f>IF(AND(A175="",A177=""),"",IF(A176="",ROUND(SUM($F$25:F175),2),IF(A176=$D$8,$E$24-ROUND(SUM($F$25:F175),2),ROUND($E$24/$D$8,2))))</f>
        <v/>
      </c>
      <c r="G176" s="65" t="str">
        <f>IF(A175=$D$8,ROUND(SUM($G$25:G175),2),IF(A176&gt;$D$8,"",IF(T176&lt;&gt;T175,ROUND(SUM(V176*$D$9*E175/T176,W176*$D$9*E175/T175),2),ROUND(E175*$D$9*D176/T175,2))))</f>
        <v/>
      </c>
      <c r="H176" s="65" t="str">
        <f>IF(A175=$D$8,SUM($H$25:H175),IF(A175&gt;$D$8,"",F176+G176))</f>
        <v/>
      </c>
      <c r="I176" s="74" t="str">
        <f t="shared" si="63"/>
        <v/>
      </c>
      <c r="J176" s="74" t="str">
        <f t="shared" si="65"/>
        <v/>
      </c>
      <c r="K176" s="74"/>
      <c r="L176" s="74" t="str">
        <f t="shared" si="64"/>
        <v/>
      </c>
      <c r="M176" s="65" t="str">
        <f t="shared" si="57"/>
        <v/>
      </c>
      <c r="N176" s="65" t="str">
        <f t="shared" si="58"/>
        <v/>
      </c>
      <c r="O176" s="67"/>
      <c r="P176" s="70" t="str">
        <f>IF(A175=$D$8,XIRR(H$24:H175,C$24:C175),"")</f>
        <v/>
      </c>
      <c r="Q176" s="74" t="str">
        <f t="shared" si="56"/>
        <v/>
      </c>
      <c r="R176" s="65">
        <f t="shared" si="53"/>
        <v>0</v>
      </c>
      <c r="S176" s="67" t="e">
        <f t="shared" ca="1" si="54"/>
        <v>#VALUE!</v>
      </c>
      <c r="T176" s="67" t="e">
        <f t="shared" ca="1" si="55"/>
        <v>#VALUE!</v>
      </c>
      <c r="U176" s="67" t="e">
        <f t="shared" ca="1" si="66"/>
        <v>#VALUE!</v>
      </c>
      <c r="V176" s="72" t="e">
        <f t="shared" ca="1" si="67"/>
        <v>#VALUE!</v>
      </c>
      <c r="W176" s="73" t="e">
        <f t="shared" ca="1" si="50"/>
        <v>#VALUE!</v>
      </c>
      <c r="X176" s="67"/>
    </row>
    <row r="177" spans="1:24" x14ac:dyDescent="0.35">
      <c r="A177" s="68" t="str">
        <f t="shared" si="51"/>
        <v/>
      </c>
      <c r="B177" s="64" t="str">
        <f t="shared" si="62"/>
        <v/>
      </c>
      <c r="C177" s="64" t="str">
        <f t="shared" ca="1" si="52"/>
        <v xml:space="preserve"> </v>
      </c>
      <c r="D177" s="68" t="str">
        <f t="shared" si="60"/>
        <v/>
      </c>
      <c r="E177" s="65" t="str">
        <f t="shared" si="61"/>
        <v/>
      </c>
      <c r="F177" s="65" t="str">
        <f>IF(AND(A176="",A178=""),"",IF(A177="",ROUND(SUM($F$25:F176),2),IF(A177=$D$8,$E$24-ROUND(SUM($F$25:F176),2),ROUND($E$24/$D$8,2))))</f>
        <v/>
      </c>
      <c r="G177" s="65" t="str">
        <f>IF(A176=$D$8,ROUND(SUM($G$25:G176),2),IF(A177&gt;$D$8,"",IF(T177&lt;&gt;T176,ROUND(SUM(V177*$D$9*E176/T177,W177*$D$9*E176/T176),2),ROUND(E176*$D$9*D177/T176,2))))</f>
        <v/>
      </c>
      <c r="H177" s="65" t="str">
        <f>IF(A176=$D$8,SUM($H$25:H176),IF(A176&gt;$D$8,"",F177+G177))</f>
        <v/>
      </c>
      <c r="I177" s="74" t="str">
        <f t="shared" si="63"/>
        <v/>
      </c>
      <c r="J177" s="74" t="str">
        <f t="shared" si="65"/>
        <v/>
      </c>
      <c r="K177" s="74"/>
      <c r="L177" s="74" t="str">
        <f t="shared" si="64"/>
        <v/>
      </c>
      <c r="M177" s="65" t="str">
        <f t="shared" si="57"/>
        <v/>
      </c>
      <c r="N177" s="65" t="str">
        <f t="shared" si="58"/>
        <v/>
      </c>
      <c r="O177" s="67"/>
      <c r="P177" s="70" t="str">
        <f>IF(A176=$D$8,XIRR(H$24:H176,C$24:C176),"")</f>
        <v/>
      </c>
      <c r="Q177" s="74" t="str">
        <f t="shared" si="56"/>
        <v/>
      </c>
      <c r="R177" s="65">
        <f t="shared" si="53"/>
        <v>0</v>
      </c>
      <c r="S177" s="67" t="e">
        <f t="shared" ca="1" si="54"/>
        <v>#VALUE!</v>
      </c>
      <c r="T177" s="67" t="e">
        <f t="shared" ca="1" si="55"/>
        <v>#VALUE!</v>
      </c>
      <c r="U177" s="67" t="e">
        <f t="shared" ca="1" si="66"/>
        <v>#VALUE!</v>
      </c>
      <c r="V177" s="72" t="e">
        <f t="shared" ca="1" si="67"/>
        <v>#VALUE!</v>
      </c>
      <c r="W177" s="73" t="e">
        <f t="shared" ca="1" si="50"/>
        <v>#VALUE!</v>
      </c>
      <c r="X177" s="67"/>
    </row>
    <row r="178" spans="1:24" x14ac:dyDescent="0.35">
      <c r="A178" s="68" t="str">
        <f t="shared" si="51"/>
        <v/>
      </c>
      <c r="B178" s="64" t="str">
        <f t="shared" si="62"/>
        <v/>
      </c>
      <c r="C178" s="64" t="str">
        <f t="shared" ca="1" si="52"/>
        <v xml:space="preserve"> </v>
      </c>
      <c r="D178" s="68" t="str">
        <f t="shared" si="60"/>
        <v/>
      </c>
      <c r="E178" s="65" t="str">
        <f t="shared" si="61"/>
        <v/>
      </c>
      <c r="F178" s="65" t="str">
        <f>IF(AND(A177="",A179=""),"",IF(A178="",ROUND(SUM($F$25:F177),2),IF(A178=$D$8,$E$24-ROUND(SUM($F$25:F177),2),ROUND($E$24/$D$8,2))))</f>
        <v/>
      </c>
      <c r="G178" s="65" t="str">
        <f>IF(A177=$D$8,ROUND(SUM($G$25:G177),2),IF(A178&gt;$D$8,"",IF(T178&lt;&gt;T177,ROUND(SUM(V178*$D$9*E177/T178,W178*$D$9*E177/T177),2),ROUND(E177*$D$9*D178/T177,2))))</f>
        <v/>
      </c>
      <c r="H178" s="65" t="str">
        <f>IF(A177=$D$8,SUM($H$25:H177),IF(A177&gt;$D$8,"",F178+G178))</f>
        <v/>
      </c>
      <c r="I178" s="74" t="str">
        <f t="shared" si="63"/>
        <v/>
      </c>
      <c r="J178" s="74" t="str">
        <f t="shared" si="65"/>
        <v/>
      </c>
      <c r="K178" s="74"/>
      <c r="L178" s="74" t="str">
        <f t="shared" si="64"/>
        <v/>
      </c>
      <c r="M178" s="65" t="str">
        <f t="shared" si="57"/>
        <v/>
      </c>
      <c r="N178" s="65" t="str">
        <f t="shared" si="58"/>
        <v/>
      </c>
      <c r="O178" s="67"/>
      <c r="P178" s="70" t="str">
        <f>IF(A177=$D$8,XIRR(H$24:H177,C$24:C177),"")</f>
        <v/>
      </c>
      <c r="Q178" s="74" t="str">
        <f t="shared" si="56"/>
        <v/>
      </c>
      <c r="R178" s="65">
        <f t="shared" si="53"/>
        <v>0</v>
      </c>
      <c r="S178" s="67" t="e">
        <f t="shared" ca="1" si="54"/>
        <v>#VALUE!</v>
      </c>
      <c r="T178" s="67" t="e">
        <f t="shared" ca="1" si="55"/>
        <v>#VALUE!</v>
      </c>
      <c r="U178" s="67" t="e">
        <f t="shared" ca="1" si="66"/>
        <v>#VALUE!</v>
      </c>
      <c r="V178" s="72" t="e">
        <f t="shared" ca="1" si="67"/>
        <v>#VALUE!</v>
      </c>
      <c r="W178" s="73" t="e">
        <f t="shared" ca="1" si="50"/>
        <v>#VALUE!</v>
      </c>
      <c r="X178" s="67"/>
    </row>
    <row r="179" spans="1:24" x14ac:dyDescent="0.35">
      <c r="A179" s="68" t="str">
        <f t="shared" si="51"/>
        <v/>
      </c>
      <c r="B179" s="64" t="str">
        <f t="shared" si="62"/>
        <v/>
      </c>
      <c r="C179" s="64" t="str">
        <f t="shared" ca="1" si="52"/>
        <v xml:space="preserve"> </v>
      </c>
      <c r="D179" s="68" t="str">
        <f t="shared" si="60"/>
        <v/>
      </c>
      <c r="E179" s="65" t="str">
        <f t="shared" si="61"/>
        <v/>
      </c>
      <c r="F179" s="65" t="str">
        <f>IF(AND(A178="",A180=""),"",IF(A179="",ROUND(SUM($F$25:F178),2),IF(A179=$D$8,$E$24-ROUND(SUM($F$25:F178),2),ROUND($E$24/$D$8,2))))</f>
        <v/>
      </c>
      <c r="G179" s="65" t="str">
        <f>IF(A178=$D$8,ROUND(SUM($G$25:G178),2),IF(A179&gt;$D$8,"",IF(T179&lt;&gt;T178,ROUND(SUM(V179*$D$9*E178/T179,W179*$D$9*E178/T178),2),ROUND(E178*$D$9*D179/T178,2))))</f>
        <v/>
      </c>
      <c r="H179" s="65" t="str">
        <f>IF(A178=$D$8,SUM($H$25:H178),IF(A178&gt;$D$8,"",F179+G179))</f>
        <v/>
      </c>
      <c r="I179" s="74" t="str">
        <f t="shared" si="63"/>
        <v/>
      </c>
      <c r="J179" s="74" t="str">
        <f t="shared" si="65"/>
        <v/>
      </c>
      <c r="K179" s="74"/>
      <c r="L179" s="74" t="str">
        <f t="shared" si="64"/>
        <v/>
      </c>
      <c r="M179" s="65" t="str">
        <f t="shared" si="57"/>
        <v/>
      </c>
      <c r="N179" s="65" t="str">
        <f t="shared" si="58"/>
        <v/>
      </c>
      <c r="O179" s="67"/>
      <c r="P179" s="70" t="str">
        <f>IF(A178=$D$8,XIRR(H$24:H178,C$24:C178),"")</f>
        <v/>
      </c>
      <c r="Q179" s="74" t="str">
        <f t="shared" si="56"/>
        <v/>
      </c>
      <c r="R179" s="65">
        <f t="shared" si="53"/>
        <v>0</v>
      </c>
      <c r="S179" s="67" t="e">
        <f t="shared" ca="1" si="54"/>
        <v>#VALUE!</v>
      </c>
      <c r="T179" s="67" t="e">
        <f t="shared" ca="1" si="55"/>
        <v>#VALUE!</v>
      </c>
      <c r="U179" s="67" t="e">
        <f t="shared" ca="1" si="66"/>
        <v>#VALUE!</v>
      </c>
      <c r="V179" s="72" t="e">
        <f t="shared" ca="1" si="67"/>
        <v>#VALUE!</v>
      </c>
      <c r="W179" s="73" t="e">
        <f t="shared" ca="1" si="50"/>
        <v>#VALUE!</v>
      </c>
      <c r="X179" s="67"/>
    </row>
    <row r="180" spans="1:24" x14ac:dyDescent="0.35">
      <c r="A180" s="68" t="str">
        <f t="shared" si="51"/>
        <v/>
      </c>
      <c r="B180" s="64" t="str">
        <f t="shared" si="62"/>
        <v/>
      </c>
      <c r="C180" s="64" t="str">
        <f t="shared" ca="1" si="52"/>
        <v xml:space="preserve"> </v>
      </c>
      <c r="D180" s="68" t="str">
        <f t="shared" si="60"/>
        <v/>
      </c>
      <c r="E180" s="65" t="str">
        <f t="shared" si="61"/>
        <v/>
      </c>
      <c r="F180" s="65" t="str">
        <f>IF(AND(A179="",A181=""),"",IF(A180="",ROUND(SUM($F$25:F179),2),IF(A180=$D$8,$E$24-ROUND(SUM($F$25:F179),2),ROUND($E$24/$D$8,2))))</f>
        <v/>
      </c>
      <c r="G180" s="65" t="str">
        <f>IF(A179=$D$8,ROUND(SUM($G$25:G179),2),IF(A180&gt;$D$8,"",IF(T180&lt;&gt;T179,ROUND(SUM(V180*$D$9*E179/T180,W180*$D$9*E179/T179),2),ROUND(E179*$D$9*D180/T179,2))))</f>
        <v/>
      </c>
      <c r="H180" s="65" t="str">
        <f>IF(A179=$D$8,SUM($H$25:H179),IF(A179&gt;$D$8,"",F180+G180))</f>
        <v/>
      </c>
      <c r="I180" s="74" t="str">
        <f t="shared" si="63"/>
        <v/>
      </c>
      <c r="J180" s="74" t="str">
        <f t="shared" si="65"/>
        <v/>
      </c>
      <c r="K180" s="74"/>
      <c r="L180" s="74" t="str">
        <f t="shared" si="64"/>
        <v/>
      </c>
      <c r="M180" s="65" t="str">
        <f t="shared" si="57"/>
        <v/>
      </c>
      <c r="N180" s="65" t="str">
        <f t="shared" si="58"/>
        <v/>
      </c>
      <c r="O180" s="67"/>
      <c r="P180" s="70" t="str">
        <f>IF(A179=$D$8,XIRR(H$24:H179,C$24:C179),"")</f>
        <v/>
      </c>
      <c r="Q180" s="74" t="str">
        <f t="shared" si="56"/>
        <v/>
      </c>
      <c r="R180" s="65">
        <f t="shared" si="53"/>
        <v>0</v>
      </c>
      <c r="S180" s="67" t="e">
        <f t="shared" ca="1" si="54"/>
        <v>#VALUE!</v>
      </c>
      <c r="T180" s="67" t="e">
        <f t="shared" ca="1" si="55"/>
        <v>#VALUE!</v>
      </c>
      <c r="U180" s="67" t="e">
        <f t="shared" ca="1" si="66"/>
        <v>#VALUE!</v>
      </c>
      <c r="V180" s="72" t="e">
        <f t="shared" ca="1" si="67"/>
        <v>#VALUE!</v>
      </c>
      <c r="W180" s="73" t="e">
        <f t="shared" ca="1" si="50"/>
        <v>#VALUE!</v>
      </c>
      <c r="X180" s="67"/>
    </row>
    <row r="181" spans="1:24" x14ac:dyDescent="0.35">
      <c r="A181" s="68" t="str">
        <f t="shared" si="51"/>
        <v/>
      </c>
      <c r="B181" s="64" t="str">
        <f t="shared" si="62"/>
        <v/>
      </c>
      <c r="C181" s="64" t="str">
        <f t="shared" ca="1" si="52"/>
        <v xml:space="preserve"> </v>
      </c>
      <c r="D181" s="68" t="str">
        <f t="shared" si="60"/>
        <v/>
      </c>
      <c r="E181" s="65" t="str">
        <f t="shared" si="61"/>
        <v/>
      </c>
      <c r="F181" s="65" t="str">
        <f>IF(AND(A180="",A182=""),"",IF(A181="",ROUND(SUM($F$25:F180),2),IF(A181=$D$8,$E$24-ROUND(SUM($F$25:F180),2),ROUND($E$24/$D$8,2))))</f>
        <v/>
      </c>
      <c r="G181" s="65" t="str">
        <f>IF(A180=$D$8,ROUND(SUM($G$25:G180),2),IF(A181&gt;$D$8,"",IF(T181&lt;&gt;T180,ROUND(SUM(V181*$D$9*E180/T181,W181*$D$9*E180/T180),2),ROUND(E180*$D$9*D181/T180,2))))</f>
        <v/>
      </c>
      <c r="H181" s="65" t="str">
        <f>IF(A180=$D$8,SUM($H$25:H180),IF(A180&gt;$D$8,"",F181+G181))</f>
        <v/>
      </c>
      <c r="I181" s="74" t="str">
        <f t="shared" si="63"/>
        <v/>
      </c>
      <c r="J181" s="74" t="str">
        <f>IF($D$8&gt;A180,$N$9,IF($D$8=A180,SUM($J$24:J180)," "))</f>
        <v xml:space="preserve"> </v>
      </c>
      <c r="K181" s="74" t="str">
        <f>IF($D$8&gt;A180,($O$8+$N$10*E180),IF(A180=$D$8,$K$37+$K$24+$K$49+$K$61+$K$73+$K$85+$K$97+$K$109+$K$121+$K$133+$K$145+$K$157+$K$169,""))</f>
        <v/>
      </c>
      <c r="L181" s="74" t="str">
        <f t="shared" si="64"/>
        <v/>
      </c>
      <c r="M181" s="65" t="str">
        <f t="shared" si="57"/>
        <v/>
      </c>
      <c r="N181" s="65" t="str">
        <f t="shared" si="58"/>
        <v/>
      </c>
      <c r="O181" s="67"/>
      <c r="P181" s="70" t="str">
        <f>IF(A180=$D$8,XIRR(H$24:H180,C$24:C180),"")</f>
        <v/>
      </c>
      <c r="Q181" s="74" t="str">
        <f t="shared" si="56"/>
        <v/>
      </c>
      <c r="R181" s="65">
        <f t="shared" si="53"/>
        <v>0</v>
      </c>
      <c r="S181" s="67" t="e">
        <f t="shared" ca="1" si="54"/>
        <v>#VALUE!</v>
      </c>
      <c r="T181" s="67" t="e">
        <f t="shared" ca="1" si="55"/>
        <v>#VALUE!</v>
      </c>
      <c r="U181" s="67" t="e">
        <f t="shared" ca="1" si="66"/>
        <v>#VALUE!</v>
      </c>
      <c r="V181" s="72" t="e">
        <f t="shared" ca="1" si="67"/>
        <v>#VALUE!</v>
      </c>
      <c r="W181" s="73" t="e">
        <f t="shared" ca="1" si="50"/>
        <v>#VALUE!</v>
      </c>
      <c r="X181" s="67"/>
    </row>
    <row r="182" spans="1:24" x14ac:dyDescent="0.35">
      <c r="A182" s="68" t="str">
        <f t="shared" si="51"/>
        <v/>
      </c>
      <c r="B182" s="64" t="str">
        <f t="shared" si="62"/>
        <v/>
      </c>
      <c r="C182" s="64" t="str">
        <f t="shared" ca="1" si="52"/>
        <v xml:space="preserve"> </v>
      </c>
      <c r="D182" s="68" t="str">
        <f t="shared" si="60"/>
        <v/>
      </c>
      <c r="E182" s="65" t="str">
        <f t="shared" si="61"/>
        <v/>
      </c>
      <c r="F182" s="65" t="str">
        <f>IF(AND(A181="",A183=""),"",IF(A182="",ROUND(SUM($F$25:F181),2),IF(A182=$D$8,$E$24-ROUND(SUM($F$25:F181),2),ROUND($E$24/$D$8,2))))</f>
        <v/>
      </c>
      <c r="G182" s="65" t="str">
        <f>IF(A181=$D$8,ROUND(SUM($G$25:G181),2),IF(A182&gt;$D$8,"",IF(T182&lt;&gt;T181,ROUND(SUM(V182*$D$9*E181/T182,W182*$D$9*E181/T181),2),ROUND(E181*$D$9*D182/T181,2))))</f>
        <v/>
      </c>
      <c r="H182" s="65" t="str">
        <f>IF(A181=$D$8,SUM($H$25:H181),IF(A181&gt;$D$8,"",F182+G182))</f>
        <v/>
      </c>
      <c r="I182" s="74" t="str">
        <f t="shared" si="63"/>
        <v/>
      </c>
      <c r="J182" s="74" t="str">
        <f t="shared" ref="J182:J192" si="68">IF(A181=$D$8,$J$24,"")</f>
        <v/>
      </c>
      <c r="K182" s="74"/>
      <c r="L182" s="74" t="str">
        <f t="shared" si="64"/>
        <v/>
      </c>
      <c r="M182" s="65" t="str">
        <f t="shared" si="57"/>
        <v/>
      </c>
      <c r="N182" s="65" t="str">
        <f t="shared" si="58"/>
        <v/>
      </c>
      <c r="O182" s="67"/>
      <c r="P182" s="70" t="str">
        <f>IF(A181=$D$8,XIRR(H$24:H181,C$24:C181),"")</f>
        <v/>
      </c>
      <c r="Q182" s="74" t="str">
        <f t="shared" si="56"/>
        <v/>
      </c>
      <c r="R182" s="65">
        <f t="shared" si="53"/>
        <v>0</v>
      </c>
      <c r="S182" s="67" t="e">
        <f t="shared" ca="1" si="54"/>
        <v>#VALUE!</v>
      </c>
      <c r="T182" s="67" t="e">
        <f t="shared" ca="1" si="55"/>
        <v>#VALUE!</v>
      </c>
      <c r="U182" s="67" t="e">
        <f t="shared" ca="1" si="66"/>
        <v>#VALUE!</v>
      </c>
      <c r="V182" s="72" t="e">
        <f t="shared" ca="1" si="67"/>
        <v>#VALUE!</v>
      </c>
      <c r="W182" s="73" t="e">
        <f t="shared" ca="1" si="50"/>
        <v>#VALUE!</v>
      </c>
      <c r="X182" s="67"/>
    </row>
    <row r="183" spans="1:24" x14ac:dyDescent="0.35">
      <c r="A183" s="68" t="str">
        <f t="shared" si="51"/>
        <v/>
      </c>
      <c r="B183" s="64" t="str">
        <f t="shared" si="62"/>
        <v/>
      </c>
      <c r="C183" s="64" t="str">
        <f t="shared" ca="1" si="52"/>
        <v xml:space="preserve"> </v>
      </c>
      <c r="D183" s="68" t="str">
        <f t="shared" si="60"/>
        <v/>
      </c>
      <c r="E183" s="65" t="str">
        <f t="shared" si="61"/>
        <v/>
      </c>
      <c r="F183" s="65" t="str">
        <f>IF(AND(A182="",A184=""),"",IF(A183="",ROUND(SUM($F$25:F182),2),IF(A183=$D$8,$E$24-ROUND(SUM($F$25:F182),2),ROUND($E$24/$D$8,2))))</f>
        <v/>
      </c>
      <c r="G183" s="65" t="str">
        <f>IF(A182=$D$8,ROUND(SUM($G$25:G182),2),IF(A183&gt;$D$8,"",IF(T183&lt;&gt;T182,ROUND(SUM(V183*$D$9*E182/T183,W183*$D$9*E182/T182),2),ROUND(E182*$D$9*D183/T182,2))))</f>
        <v/>
      </c>
      <c r="H183" s="65" t="str">
        <f>IF(A182=$D$8,SUM($H$25:H182),IF(A182&gt;$D$8,"",F183+G183))</f>
        <v/>
      </c>
      <c r="I183" s="74" t="str">
        <f t="shared" si="63"/>
        <v/>
      </c>
      <c r="J183" s="74" t="str">
        <f t="shared" si="68"/>
        <v/>
      </c>
      <c r="K183" s="74"/>
      <c r="L183" s="74" t="str">
        <f t="shared" si="64"/>
        <v/>
      </c>
      <c r="M183" s="65" t="str">
        <f t="shared" si="57"/>
        <v/>
      </c>
      <c r="N183" s="65" t="str">
        <f t="shared" si="58"/>
        <v/>
      </c>
      <c r="O183" s="67"/>
      <c r="P183" s="70" t="str">
        <f>IF(A182=$D$8,XIRR(H$24:H182,C$24:C182),"")</f>
        <v/>
      </c>
      <c r="Q183" s="74" t="str">
        <f t="shared" si="56"/>
        <v/>
      </c>
      <c r="R183" s="65">
        <f t="shared" si="53"/>
        <v>0</v>
      </c>
      <c r="S183" s="67" t="e">
        <f t="shared" ca="1" si="54"/>
        <v>#VALUE!</v>
      </c>
      <c r="T183" s="67" t="e">
        <f t="shared" ca="1" si="55"/>
        <v>#VALUE!</v>
      </c>
      <c r="U183" s="67" t="e">
        <f t="shared" ca="1" si="66"/>
        <v>#VALUE!</v>
      </c>
      <c r="V183" s="72" t="e">
        <f t="shared" ca="1" si="67"/>
        <v>#VALUE!</v>
      </c>
      <c r="W183" s="73" t="e">
        <f t="shared" ca="1" si="50"/>
        <v>#VALUE!</v>
      </c>
      <c r="X183" s="67"/>
    </row>
    <row r="184" spans="1:24" x14ac:dyDescent="0.35">
      <c r="A184" s="68" t="str">
        <f t="shared" si="51"/>
        <v/>
      </c>
      <c r="B184" s="64" t="str">
        <f t="shared" si="62"/>
        <v/>
      </c>
      <c r="C184" s="64" t="str">
        <f t="shared" ca="1" si="52"/>
        <v xml:space="preserve"> </v>
      </c>
      <c r="D184" s="68" t="str">
        <f t="shared" si="60"/>
        <v/>
      </c>
      <c r="E184" s="65" t="str">
        <f t="shared" si="61"/>
        <v/>
      </c>
      <c r="F184" s="65" t="str">
        <f>IF(AND(A183="",A185=""),"",IF(A184="",ROUND(SUM($F$25:F183),2),IF(A184=$D$8,$E$24-ROUND(SUM($F$25:F183),2),ROUND($E$24/$D$8,2))))</f>
        <v/>
      </c>
      <c r="G184" s="65" t="str">
        <f>IF(A183=$D$8,ROUND(SUM($G$25:G183),2),IF(A184&gt;$D$8,"",IF(T184&lt;&gt;T183,ROUND(SUM(V184*$D$9*E183/T184,W184*$D$9*E183/T183),2),ROUND(E183*$D$9*D184/T183,2))))</f>
        <v/>
      </c>
      <c r="H184" s="65" t="str">
        <f>IF(A183=$D$8,SUM($H$25:H183),IF(A183&gt;$D$8,"",F184+G184))</f>
        <v/>
      </c>
      <c r="I184" s="74" t="str">
        <f t="shared" si="63"/>
        <v/>
      </c>
      <c r="J184" s="74" t="str">
        <f t="shared" si="68"/>
        <v/>
      </c>
      <c r="K184" s="74"/>
      <c r="L184" s="74" t="str">
        <f t="shared" si="64"/>
        <v/>
      </c>
      <c r="M184" s="65" t="str">
        <f t="shared" si="57"/>
        <v/>
      </c>
      <c r="N184" s="65" t="str">
        <f t="shared" si="58"/>
        <v/>
      </c>
      <c r="O184" s="67"/>
      <c r="P184" s="70" t="str">
        <f>IF(A183=$D$8,XIRR(H$24:H183,C$24:C183),"")</f>
        <v/>
      </c>
      <c r="Q184" s="74" t="str">
        <f t="shared" si="56"/>
        <v/>
      </c>
      <c r="R184" s="65">
        <f t="shared" si="53"/>
        <v>0</v>
      </c>
      <c r="S184" s="67" t="e">
        <f t="shared" ca="1" si="54"/>
        <v>#VALUE!</v>
      </c>
      <c r="T184" s="67" t="e">
        <f t="shared" ca="1" si="55"/>
        <v>#VALUE!</v>
      </c>
      <c r="U184" s="67" t="e">
        <f t="shared" ca="1" si="66"/>
        <v>#VALUE!</v>
      </c>
      <c r="V184" s="72" t="e">
        <f t="shared" ca="1" si="67"/>
        <v>#VALUE!</v>
      </c>
      <c r="W184" s="73" t="e">
        <f t="shared" ca="1" si="50"/>
        <v>#VALUE!</v>
      </c>
      <c r="X184" s="67"/>
    </row>
    <row r="185" spans="1:24" x14ac:dyDescent="0.35">
      <c r="A185" s="68" t="str">
        <f t="shared" si="51"/>
        <v/>
      </c>
      <c r="B185" s="64" t="str">
        <f t="shared" si="62"/>
        <v/>
      </c>
      <c r="C185" s="64" t="str">
        <f t="shared" ca="1" si="52"/>
        <v xml:space="preserve"> </v>
      </c>
      <c r="D185" s="68" t="str">
        <f t="shared" si="60"/>
        <v/>
      </c>
      <c r="E185" s="65" t="str">
        <f t="shared" si="61"/>
        <v/>
      </c>
      <c r="F185" s="65" t="str">
        <f>IF(AND(A184="",A186=""),"",IF(A185="",ROUND(SUM($F$25:F184),2),IF(A185=$D$8,$E$24-ROUND(SUM($F$25:F184),2),ROUND($E$24/$D$8,2))))</f>
        <v/>
      </c>
      <c r="G185" s="65" t="str">
        <f>IF(A184=$D$8,ROUND(SUM($G$25:G184),2),IF(A185&gt;$D$8,"",IF(T185&lt;&gt;T184,ROUND(SUM(V185*$D$9*E184/T185,W185*$D$9*E184/T184),2),ROUND(E184*$D$9*D185/T184,2))))</f>
        <v/>
      </c>
      <c r="H185" s="65" t="str">
        <f>IF(A184=$D$8,SUM($H$25:H184),IF(A184&gt;$D$8,"",F185+G185))</f>
        <v/>
      </c>
      <c r="I185" s="74" t="str">
        <f t="shared" si="63"/>
        <v/>
      </c>
      <c r="J185" s="74" t="str">
        <f t="shared" si="68"/>
        <v/>
      </c>
      <c r="K185" s="74"/>
      <c r="L185" s="74" t="str">
        <f t="shared" si="64"/>
        <v/>
      </c>
      <c r="M185" s="65" t="str">
        <f t="shared" si="57"/>
        <v/>
      </c>
      <c r="N185" s="65" t="str">
        <f t="shared" si="58"/>
        <v/>
      </c>
      <c r="O185" s="67"/>
      <c r="P185" s="70" t="str">
        <f>IF(A184=$D$8,XIRR(H$24:H184,C$24:C184),"")</f>
        <v/>
      </c>
      <c r="Q185" s="74" t="str">
        <f t="shared" si="56"/>
        <v/>
      </c>
      <c r="R185" s="65">
        <f t="shared" si="53"/>
        <v>0</v>
      </c>
      <c r="S185" s="67" t="e">
        <f t="shared" ca="1" si="54"/>
        <v>#VALUE!</v>
      </c>
      <c r="T185" s="67" t="e">
        <f t="shared" ca="1" si="55"/>
        <v>#VALUE!</v>
      </c>
      <c r="U185" s="67" t="e">
        <f t="shared" ca="1" si="66"/>
        <v>#VALUE!</v>
      </c>
      <c r="V185" s="72" t="e">
        <f t="shared" ca="1" si="67"/>
        <v>#VALUE!</v>
      </c>
      <c r="W185" s="73" t="e">
        <f t="shared" ca="1" si="50"/>
        <v>#VALUE!</v>
      </c>
      <c r="X185" s="67"/>
    </row>
    <row r="186" spans="1:24" x14ac:dyDescent="0.35">
      <c r="A186" s="68" t="str">
        <f t="shared" si="51"/>
        <v/>
      </c>
      <c r="B186" s="64" t="str">
        <f t="shared" si="62"/>
        <v/>
      </c>
      <c r="C186" s="64" t="str">
        <f t="shared" ca="1" si="52"/>
        <v xml:space="preserve"> </v>
      </c>
      <c r="D186" s="68" t="str">
        <f t="shared" si="60"/>
        <v/>
      </c>
      <c r="E186" s="65" t="str">
        <f t="shared" si="61"/>
        <v/>
      </c>
      <c r="F186" s="65" t="str">
        <f>IF(AND(A185="",A187=""),"",IF(A186="",ROUND(SUM($F$25:F185),2),IF(A186=$D$8,$E$24-ROUND(SUM($F$25:F185),2),ROUND($E$24/$D$8,2))))</f>
        <v/>
      </c>
      <c r="G186" s="65" t="str">
        <f>IF(A185=$D$8,ROUND(SUM($G$25:G185),2),IF(A186&gt;$D$8,"",IF(T186&lt;&gt;T185,ROUND(SUM(V186*$D$9*E185/T186,W186*$D$9*E185/T185),2),ROUND(E185*$D$9*D186/T185,2))))</f>
        <v/>
      </c>
      <c r="H186" s="65" t="str">
        <f>IF(A185=$D$8,SUM($H$25:H185),IF(A185&gt;$D$8,"",F186+G186))</f>
        <v/>
      </c>
      <c r="I186" s="74" t="str">
        <f t="shared" si="63"/>
        <v/>
      </c>
      <c r="J186" s="74" t="str">
        <f t="shared" si="68"/>
        <v/>
      </c>
      <c r="K186" s="74"/>
      <c r="L186" s="74" t="str">
        <f t="shared" si="64"/>
        <v/>
      </c>
      <c r="M186" s="65" t="str">
        <f t="shared" si="57"/>
        <v/>
      </c>
      <c r="N186" s="65" t="str">
        <f t="shared" si="58"/>
        <v/>
      </c>
      <c r="O186" s="67"/>
      <c r="P186" s="70" t="str">
        <f>IF(A185=$D$8,XIRR(H$24:H185,C$24:C185),"")</f>
        <v/>
      </c>
      <c r="Q186" s="74" t="str">
        <f t="shared" si="56"/>
        <v/>
      </c>
      <c r="R186" s="65">
        <f t="shared" si="53"/>
        <v>0</v>
      </c>
      <c r="S186" s="67" t="e">
        <f t="shared" ca="1" si="54"/>
        <v>#VALUE!</v>
      </c>
      <c r="T186" s="67" t="e">
        <f t="shared" ca="1" si="55"/>
        <v>#VALUE!</v>
      </c>
      <c r="U186" s="67" t="e">
        <f t="shared" ca="1" si="66"/>
        <v>#VALUE!</v>
      </c>
      <c r="V186" s="72" t="e">
        <f t="shared" ca="1" si="67"/>
        <v>#VALUE!</v>
      </c>
      <c r="W186" s="73" t="e">
        <f t="shared" ca="1" si="50"/>
        <v>#VALUE!</v>
      </c>
      <c r="X186" s="67"/>
    </row>
    <row r="187" spans="1:24" x14ac:dyDescent="0.35">
      <c r="A187" s="68" t="str">
        <f t="shared" si="51"/>
        <v/>
      </c>
      <c r="B187" s="64" t="str">
        <f t="shared" si="62"/>
        <v/>
      </c>
      <c r="C187" s="64" t="str">
        <f t="shared" ca="1" si="52"/>
        <v xml:space="preserve"> </v>
      </c>
      <c r="D187" s="68" t="str">
        <f t="shared" si="60"/>
        <v/>
      </c>
      <c r="E187" s="65" t="str">
        <f t="shared" si="61"/>
        <v/>
      </c>
      <c r="F187" s="65" t="str">
        <f>IF(AND(A186="",A188=""),"",IF(A187="",ROUND(SUM($F$25:F186),2),IF(A187=$D$8,$E$24-ROUND(SUM($F$25:F186),2),ROUND($E$24/$D$8,2))))</f>
        <v/>
      </c>
      <c r="G187" s="65" t="str">
        <f>IF(A186=$D$8,ROUND(SUM($G$25:G186),2),IF(A187&gt;$D$8,"",IF(T187&lt;&gt;T186,ROUND(SUM(V187*$D$9*E186/T187,W187*$D$9*E186/T186),2),ROUND(E186*$D$9*D187/T186,2))))</f>
        <v/>
      </c>
      <c r="H187" s="65" t="str">
        <f>IF(A186=$D$8,SUM($H$25:H186),IF(A186&gt;$D$8,"",F187+G187))</f>
        <v/>
      </c>
      <c r="I187" s="74" t="str">
        <f t="shared" si="63"/>
        <v/>
      </c>
      <c r="J187" s="74" t="str">
        <f t="shared" si="68"/>
        <v/>
      </c>
      <c r="K187" s="74"/>
      <c r="L187" s="74" t="str">
        <f t="shared" si="64"/>
        <v/>
      </c>
      <c r="M187" s="65" t="str">
        <f t="shared" si="57"/>
        <v/>
      </c>
      <c r="N187" s="65" t="str">
        <f t="shared" si="58"/>
        <v/>
      </c>
      <c r="O187" s="67"/>
      <c r="P187" s="70" t="str">
        <f>IF(A186=$D$8,XIRR(H$24:H186,C$24:C186),"")</f>
        <v/>
      </c>
      <c r="Q187" s="74" t="str">
        <f t="shared" si="56"/>
        <v/>
      </c>
      <c r="R187" s="65">
        <f t="shared" si="53"/>
        <v>0</v>
      </c>
      <c r="S187" s="67" t="e">
        <f t="shared" ca="1" si="54"/>
        <v>#VALUE!</v>
      </c>
      <c r="T187" s="67" t="e">
        <f t="shared" ca="1" si="55"/>
        <v>#VALUE!</v>
      </c>
      <c r="U187" s="67" t="e">
        <f t="shared" ca="1" si="66"/>
        <v>#VALUE!</v>
      </c>
      <c r="V187" s="72" t="e">
        <f t="shared" ca="1" si="67"/>
        <v>#VALUE!</v>
      </c>
      <c r="W187" s="73" t="e">
        <f t="shared" ca="1" si="50"/>
        <v>#VALUE!</v>
      </c>
      <c r="X187" s="67"/>
    </row>
    <row r="188" spans="1:24" x14ac:dyDescent="0.35">
      <c r="A188" s="68" t="str">
        <f t="shared" si="51"/>
        <v/>
      </c>
      <c r="B188" s="64" t="str">
        <f t="shared" si="62"/>
        <v/>
      </c>
      <c r="C188" s="64" t="str">
        <f t="shared" ca="1" si="52"/>
        <v xml:space="preserve"> </v>
      </c>
      <c r="D188" s="68" t="str">
        <f t="shared" si="60"/>
        <v/>
      </c>
      <c r="E188" s="65" t="str">
        <f t="shared" si="61"/>
        <v/>
      </c>
      <c r="F188" s="65" t="str">
        <f>IF(AND(A187="",A189=""),"",IF(A188="",ROUND(SUM($F$25:F187),2),IF(A188=$D$8,$E$24-ROUND(SUM($F$25:F187),2),ROUND($E$24/$D$8,2))))</f>
        <v/>
      </c>
      <c r="G188" s="65" t="str">
        <f>IF(A187=$D$8,ROUND(SUM($G$25:G187),2),IF(A188&gt;$D$8,"",IF(T188&lt;&gt;T187,ROUND(SUM(V188*$D$9*E187/T188,W188*$D$9*E187/T187),2),ROUND(E187*$D$9*D188/T187,2))))</f>
        <v/>
      </c>
      <c r="H188" s="65" t="str">
        <f>IF(A187=$D$8,SUM($H$25:H187),IF(A187&gt;$D$8,"",F188+G188))</f>
        <v/>
      </c>
      <c r="I188" s="74" t="str">
        <f t="shared" si="63"/>
        <v/>
      </c>
      <c r="J188" s="74" t="str">
        <f t="shared" si="68"/>
        <v/>
      </c>
      <c r="K188" s="74"/>
      <c r="L188" s="74" t="str">
        <f t="shared" si="64"/>
        <v/>
      </c>
      <c r="M188" s="65" t="str">
        <f t="shared" si="57"/>
        <v/>
      </c>
      <c r="N188" s="65" t="str">
        <f t="shared" si="58"/>
        <v/>
      </c>
      <c r="O188" s="67"/>
      <c r="P188" s="70" t="str">
        <f>IF(A187=$D$8,XIRR(H$24:H187,C$24:C187),"")</f>
        <v/>
      </c>
      <c r="Q188" s="74" t="str">
        <f t="shared" si="56"/>
        <v/>
      </c>
      <c r="R188" s="65">
        <f t="shared" si="53"/>
        <v>0</v>
      </c>
      <c r="S188" s="67" t="e">
        <f t="shared" ca="1" si="54"/>
        <v>#VALUE!</v>
      </c>
      <c r="T188" s="67" t="e">
        <f t="shared" ca="1" si="55"/>
        <v>#VALUE!</v>
      </c>
      <c r="U188" s="67" t="e">
        <f t="shared" ca="1" si="66"/>
        <v>#VALUE!</v>
      </c>
      <c r="V188" s="72" t="e">
        <f t="shared" ca="1" si="67"/>
        <v>#VALUE!</v>
      </c>
      <c r="W188" s="73" t="e">
        <f t="shared" ca="1" si="50"/>
        <v>#VALUE!</v>
      </c>
      <c r="X188" s="67"/>
    </row>
    <row r="189" spans="1:24" x14ac:dyDescent="0.35">
      <c r="A189" s="68" t="str">
        <f t="shared" si="51"/>
        <v/>
      </c>
      <c r="B189" s="64" t="str">
        <f t="shared" si="62"/>
        <v/>
      </c>
      <c r="C189" s="64" t="str">
        <f t="shared" ca="1" si="52"/>
        <v xml:space="preserve"> </v>
      </c>
      <c r="D189" s="68" t="str">
        <f t="shared" si="60"/>
        <v/>
      </c>
      <c r="E189" s="65" t="str">
        <f t="shared" si="61"/>
        <v/>
      </c>
      <c r="F189" s="65" t="str">
        <f>IF(AND(A188="",A190=""),"",IF(A189="",ROUND(SUM($F$25:F188),2),IF(A189=$D$8,$E$24-ROUND(SUM($F$25:F188),2),ROUND($E$24/$D$8,2))))</f>
        <v/>
      </c>
      <c r="G189" s="65" t="str">
        <f>IF(A188=$D$8,ROUND(SUM($G$25:G188),2),IF(A189&gt;$D$8,"",IF(T189&lt;&gt;T188,ROUND(SUM(V189*$D$9*E188/T189,W189*$D$9*E188/T188),2),ROUND(E188*$D$9*D189/T188,2))))</f>
        <v/>
      </c>
      <c r="H189" s="65" t="str">
        <f>IF(A188=$D$8,SUM($H$25:H188),IF(A188&gt;$D$8,"",F189+G189))</f>
        <v/>
      </c>
      <c r="I189" s="74" t="str">
        <f t="shared" si="63"/>
        <v/>
      </c>
      <c r="J189" s="74" t="str">
        <f t="shared" si="68"/>
        <v/>
      </c>
      <c r="K189" s="74"/>
      <c r="L189" s="74" t="str">
        <f t="shared" si="64"/>
        <v/>
      </c>
      <c r="M189" s="65" t="str">
        <f t="shared" si="57"/>
        <v/>
      </c>
      <c r="N189" s="65" t="str">
        <f t="shared" si="58"/>
        <v/>
      </c>
      <c r="P189" s="70" t="str">
        <f>IF(A188=$D$8,XIRR(H$24:H188,C$24:C188),"")</f>
        <v/>
      </c>
      <c r="Q189" s="74" t="str">
        <f t="shared" si="56"/>
        <v/>
      </c>
      <c r="R189" s="65">
        <f t="shared" si="53"/>
        <v>0</v>
      </c>
      <c r="S189" s="67" t="e">
        <f t="shared" ca="1" si="54"/>
        <v>#VALUE!</v>
      </c>
      <c r="T189" s="67" t="e">
        <f t="shared" ca="1" si="55"/>
        <v>#VALUE!</v>
      </c>
      <c r="U189" s="67" t="e">
        <f t="shared" ca="1" si="66"/>
        <v>#VALUE!</v>
      </c>
      <c r="V189" s="72" t="e">
        <f t="shared" ca="1" si="67"/>
        <v>#VALUE!</v>
      </c>
      <c r="W189" s="73" t="e">
        <f t="shared" ca="1" si="50"/>
        <v>#VALUE!</v>
      </c>
      <c r="X189" s="67"/>
    </row>
    <row r="190" spans="1:24" x14ac:dyDescent="0.35">
      <c r="A190" s="68" t="str">
        <f t="shared" si="51"/>
        <v/>
      </c>
      <c r="B190" s="64" t="str">
        <f t="shared" si="62"/>
        <v/>
      </c>
      <c r="C190" s="64" t="str">
        <f t="shared" ca="1" si="52"/>
        <v xml:space="preserve"> </v>
      </c>
      <c r="D190" s="68" t="str">
        <f t="shared" si="60"/>
        <v/>
      </c>
      <c r="E190" s="65" t="str">
        <f t="shared" si="61"/>
        <v/>
      </c>
      <c r="F190" s="65" t="str">
        <f>IF(AND(A189="",A191=""),"",IF(A190="",ROUND(SUM($F$25:F189),2),IF(A190=$D$8,$E$24-ROUND(SUM($F$25:F189),2),ROUND($E$24/$D$8,2))))</f>
        <v/>
      </c>
      <c r="G190" s="65" t="str">
        <f>IF(A189=$D$8,ROUND(SUM($G$25:G189),2),IF(A190&gt;$D$8,"",IF(T190&lt;&gt;T189,ROUND(SUM(V190*$D$9*E189/T190,W190*$D$9*E189/T189),2),ROUND(E189*$D$9*D190/T189,2))))</f>
        <v/>
      </c>
      <c r="H190" s="65" t="str">
        <f>IF(A189=$D$8,SUM($H$25:H189),IF(A189&gt;$D$8,"",F190+G190))</f>
        <v/>
      </c>
      <c r="I190" s="74" t="str">
        <f t="shared" si="63"/>
        <v/>
      </c>
      <c r="J190" s="74" t="str">
        <f t="shared" si="68"/>
        <v/>
      </c>
      <c r="K190" s="74"/>
      <c r="L190" s="74" t="str">
        <f t="shared" si="64"/>
        <v/>
      </c>
      <c r="M190" s="65" t="str">
        <f t="shared" si="57"/>
        <v/>
      </c>
      <c r="N190" s="65" t="str">
        <f t="shared" si="58"/>
        <v/>
      </c>
      <c r="P190" s="70" t="str">
        <f>IF(A189=$D$8,XIRR(H$24:H189,C$24:C189),"")</f>
        <v/>
      </c>
      <c r="Q190" s="74" t="str">
        <f t="shared" si="56"/>
        <v/>
      </c>
      <c r="R190" s="65">
        <f t="shared" si="53"/>
        <v>0</v>
      </c>
      <c r="S190" s="67" t="e">
        <f t="shared" ca="1" si="54"/>
        <v>#VALUE!</v>
      </c>
      <c r="T190" s="67" t="e">
        <f t="shared" ca="1" si="55"/>
        <v>#VALUE!</v>
      </c>
      <c r="U190" s="67" t="e">
        <f t="shared" ca="1" si="66"/>
        <v>#VALUE!</v>
      </c>
      <c r="V190" s="72" t="e">
        <f t="shared" ca="1" si="67"/>
        <v>#VALUE!</v>
      </c>
      <c r="W190" s="73" t="e">
        <f t="shared" ca="1" si="50"/>
        <v>#VALUE!</v>
      </c>
      <c r="X190" s="67"/>
    </row>
    <row r="191" spans="1:24" x14ac:dyDescent="0.35">
      <c r="A191" s="68" t="str">
        <f t="shared" si="51"/>
        <v/>
      </c>
      <c r="B191" s="64" t="str">
        <f t="shared" si="62"/>
        <v/>
      </c>
      <c r="C191" s="64" t="str">
        <f t="shared" ca="1" si="52"/>
        <v xml:space="preserve"> </v>
      </c>
      <c r="D191" s="68" t="str">
        <f t="shared" si="60"/>
        <v/>
      </c>
      <c r="E191" s="65" t="str">
        <f t="shared" si="61"/>
        <v/>
      </c>
      <c r="F191" s="65" t="str">
        <f>IF(AND(A190="",A192=""),"",IF(A191="",ROUND(SUM($F$25:F190),2),IF(A191=$D$8,$E$24-ROUND(SUM($F$25:F190),2),ROUND($E$24/$D$8,2))))</f>
        <v/>
      </c>
      <c r="G191" s="65" t="str">
        <f>IF(A190=$D$8,ROUND(SUM($G$25:G190),2),IF(A191&gt;$D$8,"",IF(T191&lt;&gt;T190,ROUND(SUM(V191*$D$9*E190/T191,W191*$D$9*E190/T190),2),ROUND(E190*$D$9*D191/T190,2))))</f>
        <v/>
      </c>
      <c r="H191" s="65" t="str">
        <f>IF(A190=$D$8,SUM($H$25:H190),IF(A190&gt;$D$8,"",F191+G191))</f>
        <v/>
      </c>
      <c r="I191" s="74" t="str">
        <f t="shared" si="63"/>
        <v/>
      </c>
      <c r="J191" s="74" t="str">
        <f t="shared" si="68"/>
        <v/>
      </c>
      <c r="K191" s="74"/>
      <c r="L191" s="74" t="str">
        <f t="shared" si="64"/>
        <v/>
      </c>
      <c r="M191" s="65" t="str">
        <f t="shared" si="57"/>
        <v/>
      </c>
      <c r="N191" s="65" t="str">
        <f t="shared" si="58"/>
        <v/>
      </c>
      <c r="P191" s="70" t="str">
        <f>IF(A190=$D$8,XIRR(H$24:H190,C$24:C190),"")</f>
        <v/>
      </c>
      <c r="Q191" s="74" t="str">
        <f t="shared" si="56"/>
        <v/>
      </c>
      <c r="R191" s="65">
        <f t="shared" si="53"/>
        <v>0</v>
      </c>
      <c r="S191" s="67" t="e">
        <f t="shared" ca="1" si="54"/>
        <v>#VALUE!</v>
      </c>
      <c r="T191" s="67" t="e">
        <f t="shared" ca="1" si="55"/>
        <v>#VALUE!</v>
      </c>
      <c r="U191" s="67" t="e">
        <f t="shared" ca="1" si="66"/>
        <v>#VALUE!</v>
      </c>
      <c r="V191" s="72" t="e">
        <f t="shared" ca="1" si="67"/>
        <v>#VALUE!</v>
      </c>
      <c r="W191" s="73" t="e">
        <f t="shared" ca="1" si="50"/>
        <v>#VALUE!</v>
      </c>
      <c r="X191" s="67"/>
    </row>
    <row r="192" spans="1:24" x14ac:dyDescent="0.35">
      <c r="A192" s="68" t="str">
        <f t="shared" si="51"/>
        <v/>
      </c>
      <c r="B192" s="64" t="str">
        <f t="shared" si="62"/>
        <v/>
      </c>
      <c r="C192" s="64" t="str">
        <f t="shared" ca="1" si="52"/>
        <v xml:space="preserve"> </v>
      </c>
      <c r="D192" s="68" t="str">
        <f t="shared" si="60"/>
        <v/>
      </c>
      <c r="E192" s="65" t="str">
        <f t="shared" si="61"/>
        <v/>
      </c>
      <c r="F192" s="65" t="str">
        <f>IF(AND(A191="",A193=""),"",IF(A192="",ROUND(SUM($F$25:F191),2),IF(A192=$D$8,$E$24-ROUND(SUM($F$25:F191),2),ROUND($E$24/$D$8,2))))</f>
        <v/>
      </c>
      <c r="G192" s="65" t="str">
        <f>IF(A191=$D$8,ROUND(SUM($G$25:G191),2),IF(A192&gt;$D$8,"",IF(T192&lt;&gt;T191,ROUND(SUM(V192*$D$9*E191/T192,W192*$D$9*E191/T191),2),ROUND(E191*$D$9*D192/T191,2))))</f>
        <v/>
      </c>
      <c r="H192" s="65" t="str">
        <f>IF(A191=$D$8,SUM($H$25:H191),IF(A191&gt;$D$8,"",F192+G192))</f>
        <v/>
      </c>
      <c r="I192" s="74" t="str">
        <f t="shared" si="63"/>
        <v/>
      </c>
      <c r="J192" s="74" t="str">
        <f t="shared" si="68"/>
        <v/>
      </c>
      <c r="K192" s="74"/>
      <c r="L192" s="74" t="str">
        <f t="shared" si="64"/>
        <v/>
      </c>
      <c r="M192" s="65" t="str">
        <f t="shared" si="57"/>
        <v/>
      </c>
      <c r="N192" s="65" t="str">
        <f t="shared" si="58"/>
        <v/>
      </c>
      <c r="P192" s="70" t="str">
        <f>IF(A191=$D$8,XIRR(H$24:H191,C$24:C191),"")</f>
        <v/>
      </c>
      <c r="Q192" s="74" t="str">
        <f t="shared" si="56"/>
        <v/>
      </c>
      <c r="R192" s="65">
        <f t="shared" si="53"/>
        <v>0</v>
      </c>
      <c r="S192" s="67" t="e">
        <f t="shared" ca="1" si="54"/>
        <v>#VALUE!</v>
      </c>
      <c r="T192" s="67" t="e">
        <f t="shared" ca="1" si="55"/>
        <v>#VALUE!</v>
      </c>
      <c r="U192" s="67" t="e">
        <f t="shared" ca="1" si="66"/>
        <v>#VALUE!</v>
      </c>
      <c r="V192" s="72" t="e">
        <f t="shared" ca="1" si="67"/>
        <v>#VALUE!</v>
      </c>
      <c r="W192" s="73" t="e">
        <f t="shared" ca="1" si="50"/>
        <v>#VALUE!</v>
      </c>
      <c r="X192" s="67"/>
    </row>
    <row r="193" spans="1:24" x14ac:dyDescent="0.35">
      <c r="A193" s="68" t="str">
        <f t="shared" si="51"/>
        <v/>
      </c>
      <c r="B193" s="64" t="str">
        <f t="shared" si="62"/>
        <v/>
      </c>
      <c r="C193" s="64" t="str">
        <f t="shared" ca="1" si="52"/>
        <v xml:space="preserve"> </v>
      </c>
      <c r="D193" s="68" t="str">
        <f t="shared" si="60"/>
        <v/>
      </c>
      <c r="E193" s="65" t="str">
        <f t="shared" si="61"/>
        <v/>
      </c>
      <c r="F193" s="65" t="str">
        <f>IF(AND(A192="",A194=""),"",IF(A193="",ROUND(SUM($F$25:F192),2),IF(A193=$D$8,$E$24-ROUND(SUM($F$25:F192),2),ROUND($E$24/$D$8,2))))</f>
        <v/>
      </c>
      <c r="G193" s="65" t="str">
        <f>IF(A192=$D$8,ROUND(SUM($G$25:G192),2),IF(A193&gt;$D$8,"",IF(T193&lt;&gt;T192,ROUND(SUM(V193*$D$9*E192/T193,W193*$D$9*E192/T192),2),ROUND(E192*$D$9*D193/T192,2))))</f>
        <v/>
      </c>
      <c r="H193" s="65" t="str">
        <f>IF(A192=$D$8,SUM($H$25:H192),IF(A192&gt;$D$8,"",F193+G193))</f>
        <v/>
      </c>
      <c r="I193" s="74" t="str">
        <f t="shared" si="63"/>
        <v/>
      </c>
      <c r="J193" s="74" t="str">
        <f>IF($D$8&gt;A192,$N$9,IF($D$8=A192,SUM($J$24:J192)," "))</f>
        <v xml:space="preserve"> </v>
      </c>
      <c r="K193" s="74" t="str">
        <f>IF($D$8&gt;A192,($O$8+$N$10*E192),IF(A192=$D$8,$K$37+$K$24+$K$49+$K$61+$K$73+$K$85+$K$97+$K$109+$K$121+$K$133+$K$145+$K$157+$K$169+$K$181,""))</f>
        <v/>
      </c>
      <c r="L193" s="74" t="str">
        <f t="shared" si="64"/>
        <v/>
      </c>
      <c r="M193" s="65" t="str">
        <f t="shared" si="57"/>
        <v/>
      </c>
      <c r="N193" s="65" t="str">
        <f t="shared" si="58"/>
        <v/>
      </c>
      <c r="P193" s="70" t="str">
        <f>IF(A192=$D$8,XIRR(H$24:H192,C$24:C192),"")</f>
        <v/>
      </c>
      <c r="Q193" s="74" t="str">
        <f t="shared" si="56"/>
        <v/>
      </c>
      <c r="R193" s="65">
        <f t="shared" si="53"/>
        <v>0</v>
      </c>
      <c r="S193" s="67" t="e">
        <f t="shared" ca="1" si="54"/>
        <v>#VALUE!</v>
      </c>
      <c r="T193" s="67" t="e">
        <f t="shared" ca="1" si="55"/>
        <v>#VALUE!</v>
      </c>
      <c r="U193" s="67" t="e">
        <f t="shared" ca="1" si="66"/>
        <v>#VALUE!</v>
      </c>
      <c r="V193" s="72" t="e">
        <f t="shared" ca="1" si="67"/>
        <v>#VALUE!</v>
      </c>
      <c r="W193" s="73" t="e">
        <f t="shared" ca="1" si="50"/>
        <v>#VALUE!</v>
      </c>
      <c r="X193" s="67"/>
    </row>
    <row r="194" spans="1:24" x14ac:dyDescent="0.35">
      <c r="A194" s="68" t="str">
        <f t="shared" si="51"/>
        <v/>
      </c>
      <c r="B194" s="64" t="str">
        <f t="shared" si="62"/>
        <v/>
      </c>
      <c r="C194" s="64" t="str">
        <f t="shared" ca="1" si="52"/>
        <v xml:space="preserve"> </v>
      </c>
      <c r="D194" s="68" t="str">
        <f t="shared" si="60"/>
        <v/>
      </c>
      <c r="E194" s="65" t="str">
        <f t="shared" si="61"/>
        <v/>
      </c>
      <c r="F194" s="65" t="str">
        <f>IF(AND(A193="",A195=""),"",IF(A194="",ROUND(SUM($F$25:F193),2),IF(A194=$D$8,$E$24-ROUND(SUM($F$25:F193),2),ROUND($E$24/$D$8,2))))</f>
        <v/>
      </c>
      <c r="G194" s="65" t="str">
        <f>IF(A193=$D$8,ROUND(SUM($G$25:G193),2),IF(A194&gt;$D$8,"",IF(T194&lt;&gt;T193,ROUND(SUM(V194*$D$9*E193/T194,W194*$D$9*E193/T193),2),ROUND(E193*$D$9*D194/T193,2))))</f>
        <v/>
      </c>
      <c r="H194" s="65" t="str">
        <f>IF(A193=$D$8,SUM($H$25:H193),IF(A193&gt;$D$8,"",F194+G194))</f>
        <v/>
      </c>
      <c r="I194" s="74" t="str">
        <f t="shared" si="63"/>
        <v/>
      </c>
      <c r="J194" s="74" t="str">
        <f t="shared" ref="J194:J204" si="69">IF(A193=$D$8,$J$24,"")</f>
        <v/>
      </c>
      <c r="K194" s="74"/>
      <c r="L194" s="74" t="str">
        <f t="shared" si="64"/>
        <v/>
      </c>
      <c r="M194" s="65" t="str">
        <f t="shared" si="57"/>
        <v/>
      </c>
      <c r="N194" s="65" t="str">
        <f t="shared" si="58"/>
        <v/>
      </c>
      <c r="P194" s="70" t="str">
        <f>IF(A193=$D$8,XIRR(H$24:H193,C$24:C193),"")</f>
        <v/>
      </c>
      <c r="Q194" s="74" t="str">
        <f t="shared" si="56"/>
        <v/>
      </c>
      <c r="R194" s="65">
        <f t="shared" si="53"/>
        <v>0</v>
      </c>
      <c r="S194" s="67" t="e">
        <f t="shared" ca="1" si="54"/>
        <v>#VALUE!</v>
      </c>
      <c r="T194" s="67" t="e">
        <f t="shared" ca="1" si="55"/>
        <v>#VALUE!</v>
      </c>
      <c r="U194" s="67" t="e">
        <f t="shared" ca="1" si="66"/>
        <v>#VALUE!</v>
      </c>
      <c r="V194" s="72" t="e">
        <f t="shared" ca="1" si="67"/>
        <v>#VALUE!</v>
      </c>
      <c r="W194" s="73" t="e">
        <f t="shared" ca="1" si="50"/>
        <v>#VALUE!</v>
      </c>
      <c r="X194" s="67"/>
    </row>
    <row r="195" spans="1:24" x14ac:dyDescent="0.35">
      <c r="A195" s="68" t="str">
        <f t="shared" si="51"/>
        <v/>
      </c>
      <c r="B195" s="64" t="str">
        <f t="shared" si="62"/>
        <v/>
      </c>
      <c r="C195" s="64" t="str">
        <f t="shared" ca="1" si="52"/>
        <v xml:space="preserve"> </v>
      </c>
      <c r="D195" s="68" t="str">
        <f t="shared" si="60"/>
        <v/>
      </c>
      <c r="E195" s="65" t="str">
        <f t="shared" si="61"/>
        <v/>
      </c>
      <c r="F195" s="65" t="str">
        <f>IF(AND(A194="",A196=""),"",IF(A195="",ROUND(SUM($F$25:F194),2),IF(A195=$D$8,$E$24-ROUND(SUM($F$25:F194),2),ROUND($E$24/$D$8,2))))</f>
        <v/>
      </c>
      <c r="G195" s="65" t="str">
        <f>IF(A194=$D$8,ROUND(SUM($G$25:G194),2),IF(A195&gt;$D$8,"",IF(T195&lt;&gt;T194,ROUND(SUM(V195*$D$9*E194/T195,W195*$D$9*E194/T194),2),ROUND(E194*$D$9*D195/T194,2))))</f>
        <v/>
      </c>
      <c r="H195" s="65" t="str">
        <f>IF(A194=$D$8,SUM($H$25:H194),IF(A194&gt;$D$8,"",F195+G195))</f>
        <v/>
      </c>
      <c r="I195" s="74" t="str">
        <f t="shared" si="63"/>
        <v/>
      </c>
      <c r="J195" s="74" t="str">
        <f t="shared" si="69"/>
        <v/>
      </c>
      <c r="K195" s="74"/>
      <c r="L195" s="74" t="str">
        <f t="shared" si="64"/>
        <v/>
      </c>
      <c r="M195" s="65" t="str">
        <f t="shared" si="57"/>
        <v/>
      </c>
      <c r="N195" s="65" t="str">
        <f t="shared" si="58"/>
        <v/>
      </c>
      <c r="P195" s="70" t="str">
        <f>IF(A194=$D$8,XIRR(H$24:H194,C$24:C194),"")</f>
        <v/>
      </c>
      <c r="Q195" s="74" t="str">
        <f t="shared" si="56"/>
        <v/>
      </c>
      <c r="R195" s="65">
        <f t="shared" si="53"/>
        <v>0</v>
      </c>
      <c r="S195" s="67" t="e">
        <f t="shared" ca="1" si="54"/>
        <v>#VALUE!</v>
      </c>
      <c r="T195" s="67" t="e">
        <f t="shared" ca="1" si="55"/>
        <v>#VALUE!</v>
      </c>
      <c r="U195" s="67" t="e">
        <f t="shared" ca="1" si="66"/>
        <v>#VALUE!</v>
      </c>
      <c r="V195" s="72" t="e">
        <f t="shared" ca="1" si="67"/>
        <v>#VALUE!</v>
      </c>
      <c r="W195" s="73" t="e">
        <f t="shared" ca="1" si="50"/>
        <v>#VALUE!</v>
      </c>
      <c r="X195" s="67"/>
    </row>
    <row r="196" spans="1:24" x14ac:dyDescent="0.35">
      <c r="A196" s="68" t="str">
        <f t="shared" si="51"/>
        <v/>
      </c>
      <c r="B196" s="64" t="str">
        <f t="shared" si="62"/>
        <v/>
      </c>
      <c r="C196" s="64" t="str">
        <f t="shared" ca="1" si="52"/>
        <v xml:space="preserve"> </v>
      </c>
      <c r="D196" s="68" t="str">
        <f t="shared" si="60"/>
        <v/>
      </c>
      <c r="E196" s="65" t="str">
        <f t="shared" si="61"/>
        <v/>
      </c>
      <c r="F196" s="65" t="str">
        <f>IF(AND(A195="",A197=""),"",IF(A196="",ROUND(SUM($F$25:F195),2),IF(A196=$D$8,$E$24-ROUND(SUM($F$25:F195),2),ROUND($E$24/$D$8,2))))</f>
        <v/>
      </c>
      <c r="G196" s="65" t="str">
        <f>IF(A195=$D$8,ROUND(SUM($G$25:G195),2),IF(A196&gt;$D$8,"",IF(T196&lt;&gt;T195,ROUND(SUM(V196*$D$9*E195/T196,W196*$D$9*E195/T195),2),ROUND(E195*$D$9*D196/T195,2))))</f>
        <v/>
      </c>
      <c r="H196" s="65" t="str">
        <f>IF(A195=$D$8,SUM($H$25:H195),IF(A195&gt;$D$8,"",F196+G196))</f>
        <v/>
      </c>
      <c r="I196" s="74" t="str">
        <f t="shared" si="63"/>
        <v/>
      </c>
      <c r="J196" s="74" t="str">
        <f t="shared" si="69"/>
        <v/>
      </c>
      <c r="K196" s="74"/>
      <c r="L196" s="74" t="str">
        <f t="shared" si="64"/>
        <v/>
      </c>
      <c r="M196" s="65" t="str">
        <f t="shared" si="57"/>
        <v/>
      </c>
      <c r="N196" s="65" t="str">
        <f t="shared" si="58"/>
        <v/>
      </c>
      <c r="P196" s="70" t="str">
        <f>IF(A195=$D$8,XIRR(H$24:H195,C$24:C195),"")</f>
        <v/>
      </c>
      <c r="Q196" s="74" t="str">
        <f t="shared" si="56"/>
        <v/>
      </c>
      <c r="R196" s="65">
        <f t="shared" si="53"/>
        <v>0</v>
      </c>
      <c r="S196" s="67" t="e">
        <f t="shared" ca="1" si="54"/>
        <v>#VALUE!</v>
      </c>
      <c r="T196" s="67" t="e">
        <f t="shared" ca="1" si="55"/>
        <v>#VALUE!</v>
      </c>
      <c r="U196" s="67" t="e">
        <f t="shared" ca="1" si="66"/>
        <v>#VALUE!</v>
      </c>
      <c r="V196" s="72" t="e">
        <f t="shared" ca="1" si="67"/>
        <v>#VALUE!</v>
      </c>
      <c r="W196" s="73" t="e">
        <f t="shared" ca="1" si="50"/>
        <v>#VALUE!</v>
      </c>
      <c r="X196" s="67"/>
    </row>
    <row r="197" spans="1:24" x14ac:dyDescent="0.35">
      <c r="A197" s="68" t="str">
        <f t="shared" si="51"/>
        <v/>
      </c>
      <c r="B197" s="64" t="str">
        <f t="shared" si="62"/>
        <v/>
      </c>
      <c r="C197" s="64" t="str">
        <f t="shared" ca="1" si="52"/>
        <v xml:space="preserve"> </v>
      </c>
      <c r="D197" s="68" t="str">
        <f t="shared" si="60"/>
        <v/>
      </c>
      <c r="E197" s="65" t="str">
        <f t="shared" si="61"/>
        <v/>
      </c>
      <c r="F197" s="65" t="str">
        <f>IF(AND(A196="",A198=""),"",IF(A197="",ROUND(SUM($F$25:F196),2),IF(A197=$D$8,$E$24-ROUND(SUM($F$25:F196),2),ROUND($E$24/$D$8,2))))</f>
        <v/>
      </c>
      <c r="G197" s="65" t="str">
        <f>IF(A196=$D$8,ROUND(SUM($G$25:G196),2),IF(A197&gt;$D$8,"",IF(T197&lt;&gt;T196,ROUND(SUM(V197*$D$9*E196/T197,W197*$D$9*E196/T196),2),ROUND(E196*$D$9*D197/T196,2))))</f>
        <v/>
      </c>
      <c r="H197" s="65" t="str">
        <f>IF(A196=$D$8,SUM($H$25:H196),IF(A196&gt;$D$8,"",F197+G197))</f>
        <v/>
      </c>
      <c r="I197" s="74" t="str">
        <f t="shared" si="63"/>
        <v/>
      </c>
      <c r="J197" s="74" t="str">
        <f t="shared" si="69"/>
        <v/>
      </c>
      <c r="K197" s="74"/>
      <c r="L197" s="74" t="str">
        <f t="shared" si="64"/>
        <v/>
      </c>
      <c r="M197" s="65" t="str">
        <f t="shared" si="57"/>
        <v/>
      </c>
      <c r="N197" s="65" t="str">
        <f t="shared" si="58"/>
        <v/>
      </c>
      <c r="P197" s="70" t="str">
        <f>IF(A196=$D$8,XIRR(H$24:H196,C$24:C196),"")</f>
        <v/>
      </c>
      <c r="Q197" s="74" t="str">
        <f t="shared" si="56"/>
        <v/>
      </c>
      <c r="R197" s="65">
        <f t="shared" si="53"/>
        <v>0</v>
      </c>
      <c r="S197" s="67" t="e">
        <f t="shared" ca="1" si="54"/>
        <v>#VALUE!</v>
      </c>
      <c r="T197" s="67" t="e">
        <f t="shared" ca="1" si="55"/>
        <v>#VALUE!</v>
      </c>
      <c r="U197" s="67" t="e">
        <f t="shared" ca="1" si="66"/>
        <v>#VALUE!</v>
      </c>
      <c r="V197" s="72" t="e">
        <f t="shared" ca="1" si="67"/>
        <v>#VALUE!</v>
      </c>
      <c r="W197" s="73" t="e">
        <f t="shared" ca="1" si="50"/>
        <v>#VALUE!</v>
      </c>
      <c r="X197" s="67"/>
    </row>
    <row r="198" spans="1:24" x14ac:dyDescent="0.35">
      <c r="A198" s="68" t="str">
        <f t="shared" si="51"/>
        <v/>
      </c>
      <c r="B198" s="64" t="str">
        <f t="shared" si="62"/>
        <v/>
      </c>
      <c r="C198" s="64" t="str">
        <f t="shared" ca="1" si="52"/>
        <v xml:space="preserve"> </v>
      </c>
      <c r="D198" s="68" t="str">
        <f t="shared" si="60"/>
        <v/>
      </c>
      <c r="E198" s="65" t="str">
        <f t="shared" si="61"/>
        <v/>
      </c>
      <c r="F198" s="65" t="str">
        <f>IF(AND(A197="",A199=""),"",IF(A198="",ROUND(SUM($F$25:F197),2),IF(A198=$D$8,$E$24-ROUND(SUM($F$25:F197),2),ROUND($E$24/$D$8,2))))</f>
        <v/>
      </c>
      <c r="G198" s="65" t="str">
        <f>IF(A197=$D$8,ROUND(SUM($G$25:G197),2),IF(A198&gt;$D$8,"",IF(T198&lt;&gt;T197,ROUND(SUM(V198*$D$9*E197/T198,W198*$D$9*E197/T197),2),ROUND(E197*$D$9*D198/T197,2))))</f>
        <v/>
      </c>
      <c r="H198" s="65" t="str">
        <f>IF(A197=$D$8,SUM($H$25:H197),IF(A197&gt;$D$8,"",F198+G198))</f>
        <v/>
      </c>
      <c r="I198" s="74" t="str">
        <f t="shared" si="63"/>
        <v/>
      </c>
      <c r="J198" s="74" t="str">
        <f t="shared" si="69"/>
        <v/>
      </c>
      <c r="K198" s="74"/>
      <c r="L198" s="74" t="str">
        <f t="shared" si="64"/>
        <v/>
      </c>
      <c r="M198" s="65" t="str">
        <f t="shared" si="57"/>
        <v/>
      </c>
      <c r="N198" s="65" t="str">
        <f t="shared" si="58"/>
        <v/>
      </c>
      <c r="P198" s="70" t="str">
        <f>IF(A197=$D$8,XIRR(H$24:H197,C$24:C197),"")</f>
        <v/>
      </c>
      <c r="Q198" s="74" t="str">
        <f t="shared" si="56"/>
        <v/>
      </c>
      <c r="R198" s="65">
        <f t="shared" si="53"/>
        <v>0</v>
      </c>
      <c r="S198" s="67" t="e">
        <f t="shared" ca="1" si="54"/>
        <v>#VALUE!</v>
      </c>
      <c r="T198" s="67" t="e">
        <f t="shared" ca="1" si="55"/>
        <v>#VALUE!</v>
      </c>
      <c r="U198" s="67" t="e">
        <f t="shared" ca="1" si="66"/>
        <v>#VALUE!</v>
      </c>
      <c r="V198" s="72" t="e">
        <f t="shared" ca="1" si="67"/>
        <v>#VALUE!</v>
      </c>
      <c r="W198" s="73" t="e">
        <f t="shared" ca="1" si="50"/>
        <v>#VALUE!</v>
      </c>
      <c r="X198" s="67"/>
    </row>
    <row r="199" spans="1:24" x14ac:dyDescent="0.35">
      <c r="A199" s="68" t="str">
        <f t="shared" si="51"/>
        <v/>
      </c>
      <c r="B199" s="64" t="str">
        <f t="shared" si="62"/>
        <v/>
      </c>
      <c r="C199" s="64" t="str">
        <f t="shared" ca="1" si="52"/>
        <v xml:space="preserve"> </v>
      </c>
      <c r="D199" s="68" t="str">
        <f t="shared" si="60"/>
        <v/>
      </c>
      <c r="E199" s="65" t="str">
        <f t="shared" si="61"/>
        <v/>
      </c>
      <c r="F199" s="65" t="str">
        <f>IF(AND(A198="",A200=""),"",IF(A199="",ROUND(SUM($F$25:F198),2),IF(A199=$D$8,$E$24-ROUND(SUM($F$25:F198),2),ROUND($E$24/$D$8,2))))</f>
        <v/>
      </c>
      <c r="G199" s="65" t="str">
        <f>IF(A198=$D$8,ROUND(SUM($G$25:G198),2),IF(A199&gt;$D$8,"",IF(T199&lt;&gt;T198,ROUND(SUM(V199*$D$9*E198/T199,W199*$D$9*E198/T198),2),ROUND(E198*$D$9*D199/T198,2))))</f>
        <v/>
      </c>
      <c r="H199" s="65" t="str">
        <f>IF(A198=$D$8,SUM($H$25:H198),IF(A198&gt;$D$8,"",F199+G199))</f>
        <v/>
      </c>
      <c r="I199" s="74" t="str">
        <f t="shared" si="63"/>
        <v/>
      </c>
      <c r="J199" s="74" t="str">
        <f t="shared" si="69"/>
        <v/>
      </c>
      <c r="K199" s="74"/>
      <c r="L199" s="74" t="str">
        <f t="shared" si="64"/>
        <v/>
      </c>
      <c r="M199" s="65" t="str">
        <f t="shared" si="57"/>
        <v/>
      </c>
      <c r="N199" s="65" t="str">
        <f t="shared" si="58"/>
        <v/>
      </c>
      <c r="P199" s="70" t="str">
        <f>IF(A198=$D$8,XIRR(H$24:H198,C$24:C198),"")</f>
        <v/>
      </c>
      <c r="Q199" s="74" t="str">
        <f t="shared" si="56"/>
        <v/>
      </c>
      <c r="R199" s="65">
        <f t="shared" si="53"/>
        <v>0</v>
      </c>
      <c r="S199" s="67" t="e">
        <f t="shared" ca="1" si="54"/>
        <v>#VALUE!</v>
      </c>
      <c r="T199" s="67" t="e">
        <f t="shared" ca="1" si="55"/>
        <v>#VALUE!</v>
      </c>
      <c r="U199" s="67" t="e">
        <f t="shared" ca="1" si="66"/>
        <v>#VALUE!</v>
      </c>
      <c r="V199" s="72" t="e">
        <f t="shared" ca="1" si="67"/>
        <v>#VALUE!</v>
      </c>
      <c r="W199" s="73" t="e">
        <f t="shared" ca="1" si="50"/>
        <v>#VALUE!</v>
      </c>
      <c r="X199" s="67"/>
    </row>
    <row r="200" spans="1:24" x14ac:dyDescent="0.35">
      <c r="A200" s="68" t="str">
        <f t="shared" si="51"/>
        <v/>
      </c>
      <c r="B200" s="64" t="str">
        <f t="shared" si="62"/>
        <v/>
      </c>
      <c r="C200" s="64" t="str">
        <f t="shared" ca="1" si="52"/>
        <v xml:space="preserve"> </v>
      </c>
      <c r="D200" s="68" t="str">
        <f t="shared" si="60"/>
        <v/>
      </c>
      <c r="E200" s="65" t="str">
        <f t="shared" si="61"/>
        <v/>
      </c>
      <c r="F200" s="65" t="str">
        <f>IF(AND(A199="",A201=""),"",IF(A200="",ROUND(SUM($F$25:F199),2),IF(A200=$D$8,$E$24-ROUND(SUM($F$25:F199),2),ROUND($E$24/$D$8,2))))</f>
        <v/>
      </c>
      <c r="G200" s="65" t="str">
        <f>IF(A199=$D$8,ROUND(SUM($G$25:G199),2),IF(A200&gt;$D$8,"",IF(T200&lt;&gt;T199,ROUND(SUM(V200*$D$9*E199/T200,W200*$D$9*E199/T199),2),ROUND(E199*$D$9*D200/T199,2))))</f>
        <v/>
      </c>
      <c r="H200" s="65" t="str">
        <f>IF(A199=$D$8,SUM($H$25:H199),IF(A199&gt;$D$8,"",F200+G200))</f>
        <v/>
      </c>
      <c r="I200" s="74" t="str">
        <f t="shared" si="63"/>
        <v/>
      </c>
      <c r="J200" s="74" t="str">
        <f t="shared" si="69"/>
        <v/>
      </c>
      <c r="K200" s="74"/>
      <c r="L200" s="74" t="str">
        <f t="shared" si="64"/>
        <v/>
      </c>
      <c r="M200" s="65" t="str">
        <f t="shared" si="57"/>
        <v/>
      </c>
      <c r="N200" s="65" t="str">
        <f t="shared" si="58"/>
        <v/>
      </c>
      <c r="P200" s="70" t="str">
        <f>IF(A199=$D$8,XIRR(H$24:H199,C$24:C199),"")</f>
        <v/>
      </c>
      <c r="Q200" s="74" t="str">
        <f t="shared" si="56"/>
        <v/>
      </c>
      <c r="R200" s="65">
        <f t="shared" si="53"/>
        <v>0</v>
      </c>
      <c r="S200" s="67" t="e">
        <f t="shared" ca="1" si="54"/>
        <v>#VALUE!</v>
      </c>
      <c r="T200" s="67" t="e">
        <f t="shared" ca="1" si="55"/>
        <v>#VALUE!</v>
      </c>
      <c r="U200" s="67" t="e">
        <f t="shared" ca="1" si="66"/>
        <v>#VALUE!</v>
      </c>
      <c r="V200" s="72" t="e">
        <f t="shared" ca="1" si="67"/>
        <v>#VALUE!</v>
      </c>
      <c r="W200" s="73" t="e">
        <f t="shared" ca="1" si="50"/>
        <v>#VALUE!</v>
      </c>
      <c r="X200" s="67"/>
    </row>
    <row r="201" spans="1:24" x14ac:dyDescent="0.35">
      <c r="A201" s="68" t="str">
        <f t="shared" si="51"/>
        <v/>
      </c>
      <c r="B201" s="64" t="str">
        <f t="shared" si="62"/>
        <v/>
      </c>
      <c r="C201" s="64" t="str">
        <f t="shared" ca="1" si="52"/>
        <v xml:space="preserve"> </v>
      </c>
      <c r="D201" s="68" t="str">
        <f t="shared" si="60"/>
        <v/>
      </c>
      <c r="E201" s="65" t="str">
        <f t="shared" si="61"/>
        <v/>
      </c>
      <c r="F201" s="65" t="str">
        <f>IF(AND(A200="",A202=""),"",IF(A201="",ROUND(SUM($F$25:F200),2),IF(A201=$D$8,$E$24-ROUND(SUM($F$25:F200),2),ROUND($E$24/$D$8,2))))</f>
        <v/>
      </c>
      <c r="G201" s="65" t="str">
        <f>IF(A200=$D$8,ROUND(SUM($G$25:G200),2),IF(A201&gt;$D$8,"",IF(T201&lt;&gt;T200,ROUND(SUM(V201*$D$9*E200/T201,W201*$D$9*E200/T200),2),ROUND(E200*$D$9*D201/T200,2))))</f>
        <v/>
      </c>
      <c r="H201" s="65" t="str">
        <f>IF(A200=$D$8,SUM($H$25:H200),IF(A200&gt;$D$8,"",F201+G201))</f>
        <v/>
      </c>
      <c r="I201" s="74" t="str">
        <f t="shared" si="63"/>
        <v/>
      </c>
      <c r="J201" s="74" t="str">
        <f t="shared" si="69"/>
        <v/>
      </c>
      <c r="K201" s="74"/>
      <c r="L201" s="74" t="str">
        <f t="shared" si="64"/>
        <v/>
      </c>
      <c r="M201" s="65" t="str">
        <f t="shared" si="57"/>
        <v/>
      </c>
      <c r="N201" s="65" t="str">
        <f t="shared" si="58"/>
        <v/>
      </c>
      <c r="P201" s="70" t="str">
        <f>IF(A200=$D$8,XIRR(H$24:H200,C$24:C200),"")</f>
        <v/>
      </c>
      <c r="Q201" s="74" t="str">
        <f t="shared" si="56"/>
        <v/>
      </c>
      <c r="R201" s="65">
        <f t="shared" si="53"/>
        <v>0</v>
      </c>
      <c r="S201" s="67" t="e">
        <f t="shared" ca="1" si="54"/>
        <v>#VALUE!</v>
      </c>
      <c r="T201" s="67" t="e">
        <f t="shared" ca="1" si="55"/>
        <v>#VALUE!</v>
      </c>
      <c r="U201" s="67" t="e">
        <f t="shared" ca="1" si="66"/>
        <v>#VALUE!</v>
      </c>
      <c r="V201" s="72" t="e">
        <f t="shared" ca="1" si="67"/>
        <v>#VALUE!</v>
      </c>
      <c r="W201" s="73" t="e">
        <f t="shared" ca="1" si="50"/>
        <v>#VALUE!</v>
      </c>
      <c r="X201" s="67"/>
    </row>
    <row r="202" spans="1:24" x14ac:dyDescent="0.35">
      <c r="A202" s="68" t="str">
        <f t="shared" si="51"/>
        <v/>
      </c>
      <c r="B202" s="64" t="str">
        <f t="shared" si="62"/>
        <v/>
      </c>
      <c r="C202" s="64" t="str">
        <f t="shared" ca="1" si="52"/>
        <v xml:space="preserve"> </v>
      </c>
      <c r="D202" s="68" t="str">
        <f t="shared" si="60"/>
        <v/>
      </c>
      <c r="E202" s="65" t="str">
        <f t="shared" si="61"/>
        <v/>
      </c>
      <c r="F202" s="65" t="str">
        <f>IF(AND(A201="",A203=""),"",IF(A202="",ROUND(SUM($F$25:F201),2),IF(A202=$D$8,$E$24-ROUND(SUM($F$25:F201),2),ROUND($E$24/$D$8,2))))</f>
        <v/>
      </c>
      <c r="G202" s="65" t="str">
        <f>IF(A201=$D$8,ROUND(SUM($G$25:G201),2),IF(A202&gt;$D$8,"",IF(T202&lt;&gt;T201,ROUND(SUM(V202*$D$9*E201/T202,W202*$D$9*E201/T201),2),ROUND(E201*$D$9*D202/T201,2))))</f>
        <v/>
      </c>
      <c r="H202" s="65" t="str">
        <f>IF(A201=$D$8,SUM($H$25:H201),IF(A201&gt;$D$8,"",F202+G202))</f>
        <v/>
      </c>
      <c r="I202" s="74" t="str">
        <f t="shared" si="63"/>
        <v/>
      </c>
      <c r="J202" s="74" t="str">
        <f t="shared" si="69"/>
        <v/>
      </c>
      <c r="K202" s="74"/>
      <c r="L202" s="74" t="str">
        <f t="shared" si="64"/>
        <v/>
      </c>
      <c r="M202" s="65" t="str">
        <f t="shared" si="57"/>
        <v/>
      </c>
      <c r="N202" s="65" t="str">
        <f t="shared" si="58"/>
        <v/>
      </c>
      <c r="P202" s="70" t="str">
        <f>IF(A201=$D$8,XIRR(H$24:H201,C$24:C201),"")</f>
        <v/>
      </c>
      <c r="Q202" s="74" t="str">
        <f t="shared" si="56"/>
        <v/>
      </c>
      <c r="R202" s="65">
        <f t="shared" si="53"/>
        <v>0</v>
      </c>
      <c r="S202" s="67" t="e">
        <f t="shared" ca="1" si="54"/>
        <v>#VALUE!</v>
      </c>
      <c r="T202" s="67" t="e">
        <f t="shared" ca="1" si="55"/>
        <v>#VALUE!</v>
      </c>
      <c r="U202" s="67" t="e">
        <f t="shared" ca="1" si="66"/>
        <v>#VALUE!</v>
      </c>
      <c r="V202" s="72" t="e">
        <f t="shared" ca="1" si="67"/>
        <v>#VALUE!</v>
      </c>
      <c r="W202" s="73" t="e">
        <f t="shared" ca="1" si="50"/>
        <v>#VALUE!</v>
      </c>
      <c r="X202" s="67"/>
    </row>
    <row r="203" spans="1:24" x14ac:dyDescent="0.35">
      <c r="A203" s="68" t="str">
        <f t="shared" si="51"/>
        <v/>
      </c>
      <c r="B203" s="64" t="str">
        <f t="shared" si="62"/>
        <v/>
      </c>
      <c r="C203" s="64" t="str">
        <f t="shared" ca="1" si="52"/>
        <v xml:space="preserve"> </v>
      </c>
      <c r="D203" s="68" t="str">
        <f t="shared" si="60"/>
        <v/>
      </c>
      <c r="E203" s="65" t="str">
        <f t="shared" si="61"/>
        <v/>
      </c>
      <c r="F203" s="65" t="str">
        <f>IF(AND(A202="",A204=""),"",IF(A203="",ROUND(SUM($F$25:F202),2),IF(A203=$D$8,$E$24-ROUND(SUM($F$25:F202),2),ROUND($E$24/$D$8,2))))</f>
        <v/>
      </c>
      <c r="G203" s="65" t="str">
        <f>IF(A202=$D$8,ROUND(SUM($G$25:G202),2),IF(A203&gt;$D$8,"",IF(T203&lt;&gt;T202,ROUND(SUM(V203*$D$9*E202/T203,W203*$D$9*E202/T202),2),ROUND(E202*$D$9*D203/T202,2))))</f>
        <v/>
      </c>
      <c r="H203" s="65" t="str">
        <f>IF(A202=$D$8,SUM($H$25:H202),IF(A202&gt;$D$8,"",F203+G203))</f>
        <v/>
      </c>
      <c r="I203" s="74" t="str">
        <f t="shared" si="63"/>
        <v/>
      </c>
      <c r="J203" s="74" t="str">
        <f t="shared" si="69"/>
        <v/>
      </c>
      <c r="K203" s="74"/>
      <c r="L203" s="74" t="str">
        <f t="shared" si="64"/>
        <v/>
      </c>
      <c r="M203" s="65" t="str">
        <f t="shared" si="57"/>
        <v/>
      </c>
      <c r="N203" s="65" t="str">
        <f t="shared" si="58"/>
        <v/>
      </c>
      <c r="P203" s="70" t="str">
        <f>IF(A202=$D$8,XIRR(H$24:H202,C$24:C202),"")</f>
        <v/>
      </c>
      <c r="Q203" s="74" t="str">
        <f t="shared" si="56"/>
        <v/>
      </c>
      <c r="R203" s="65">
        <f t="shared" si="53"/>
        <v>0</v>
      </c>
      <c r="S203" s="67" t="e">
        <f t="shared" ca="1" si="54"/>
        <v>#VALUE!</v>
      </c>
      <c r="T203" s="67" t="e">
        <f t="shared" ca="1" si="55"/>
        <v>#VALUE!</v>
      </c>
      <c r="U203" s="67" t="e">
        <f t="shared" ca="1" si="66"/>
        <v>#VALUE!</v>
      </c>
      <c r="V203" s="72" t="e">
        <f t="shared" ca="1" si="67"/>
        <v>#VALUE!</v>
      </c>
      <c r="W203" s="73" t="e">
        <f t="shared" ca="1" si="50"/>
        <v>#VALUE!</v>
      </c>
      <c r="X203" s="67"/>
    </row>
    <row r="204" spans="1:24" x14ac:dyDescent="0.35">
      <c r="A204" s="68" t="str">
        <f t="shared" si="51"/>
        <v/>
      </c>
      <c r="B204" s="64" t="str">
        <f t="shared" si="62"/>
        <v/>
      </c>
      <c r="C204" s="64" t="str">
        <f t="shared" ca="1" si="52"/>
        <v xml:space="preserve"> </v>
      </c>
      <c r="D204" s="68" t="str">
        <f t="shared" si="60"/>
        <v/>
      </c>
      <c r="E204" s="65" t="str">
        <f t="shared" si="61"/>
        <v/>
      </c>
      <c r="F204" s="65" t="str">
        <f>IF(AND(A203="",A205=""),"",IF(A204="",ROUND(SUM($F$25:F203),2),IF(A204=$D$8,$E$24-ROUND(SUM($F$25:F203),2),ROUND($E$24/$D$8,2))))</f>
        <v/>
      </c>
      <c r="G204" s="65" t="str">
        <f>IF(A203=$D$8,ROUND(SUM($G$25:G203),2),IF(A204&gt;$D$8,"",IF(T204&lt;&gt;T203,ROUND(SUM(V204*$D$9*E203/T204,W204*$D$9*E203/T203),2),ROUND(E203*$D$9*D204/T203,2))))</f>
        <v/>
      </c>
      <c r="H204" s="65" t="str">
        <f>IF(A203=$D$8,SUM($H$25:H203),IF(A203&gt;$D$8,"",F204+G204))</f>
        <v/>
      </c>
      <c r="I204" s="74" t="str">
        <f t="shared" si="63"/>
        <v/>
      </c>
      <c r="J204" s="74" t="str">
        <f t="shared" si="69"/>
        <v/>
      </c>
      <c r="K204" s="74"/>
      <c r="L204" s="74" t="str">
        <f t="shared" si="64"/>
        <v/>
      </c>
      <c r="M204" s="65" t="str">
        <f t="shared" si="57"/>
        <v/>
      </c>
      <c r="N204" s="65" t="str">
        <f t="shared" si="58"/>
        <v/>
      </c>
      <c r="P204" s="70" t="str">
        <f>IF(A203=$D$8,XIRR(H$24:H203,C$24:C203),"")</f>
        <v/>
      </c>
      <c r="Q204" s="74" t="str">
        <f t="shared" si="56"/>
        <v/>
      </c>
      <c r="R204" s="65">
        <f t="shared" si="53"/>
        <v>0</v>
      </c>
      <c r="S204" s="67" t="e">
        <f t="shared" ca="1" si="54"/>
        <v>#VALUE!</v>
      </c>
      <c r="T204" s="67" t="e">
        <f t="shared" ca="1" si="55"/>
        <v>#VALUE!</v>
      </c>
      <c r="U204" s="67" t="e">
        <f t="shared" ca="1" si="66"/>
        <v>#VALUE!</v>
      </c>
      <c r="V204" s="72" t="e">
        <f t="shared" ca="1" si="67"/>
        <v>#VALUE!</v>
      </c>
      <c r="W204" s="73" t="e">
        <f t="shared" ca="1" si="50"/>
        <v>#VALUE!</v>
      </c>
      <c r="X204" s="67"/>
    </row>
    <row r="205" spans="1:24" x14ac:dyDescent="0.35">
      <c r="A205" s="68" t="str">
        <f t="shared" si="51"/>
        <v/>
      </c>
      <c r="B205" s="64" t="str">
        <f t="shared" si="62"/>
        <v/>
      </c>
      <c r="C205" s="64" t="str">
        <f t="shared" ca="1" si="52"/>
        <v xml:space="preserve"> </v>
      </c>
      <c r="D205" s="68" t="str">
        <f t="shared" si="60"/>
        <v/>
      </c>
      <c r="E205" s="65" t="str">
        <f t="shared" si="61"/>
        <v/>
      </c>
      <c r="F205" s="65" t="str">
        <f>IF(AND(A204="",A206=""),"",IF(A205="",ROUND(SUM($F$25:F204),2),IF(A205=$D$8,$E$24-ROUND(SUM($F$25:F204),2),ROUND($E$24/$D$8,2))))</f>
        <v/>
      </c>
      <c r="G205" s="65" t="str">
        <f>IF(A204=$D$8,ROUND(SUM($G$25:G204),2),IF(A205&gt;$D$8,"",IF(T205&lt;&gt;T204,ROUND(SUM(V205*$D$9*E204/T205,W205*$D$9*E204/T204),2),ROUND(E204*$D$9*D205/T204,2))))</f>
        <v/>
      </c>
      <c r="H205" s="65" t="str">
        <f>IF(A204=$D$8,SUM($H$25:H204),IF(A204&gt;$D$8,"",F205+G205))</f>
        <v/>
      </c>
      <c r="I205" s="74" t="str">
        <f t="shared" si="63"/>
        <v/>
      </c>
      <c r="J205" s="74" t="str">
        <f>IF($D$8&gt;A204,$N$9,IF($D$8=A204,SUM($J$24:J204)," "))</f>
        <v xml:space="preserve"> </v>
      </c>
      <c r="K205" s="74" t="str">
        <f>IF($D$8&gt;A204,($O$8+$N$10*E204),IF(A204=$D$8,$K$37+$K$24+$K$49+$K$61+$K$73+$K$85+$K$97+$K$109+$K$121+$K$133+$K$145+$K$157+$K$169+$K$181+$K$193,""))</f>
        <v/>
      </c>
      <c r="L205" s="74" t="str">
        <f t="shared" si="64"/>
        <v/>
      </c>
      <c r="M205" s="65" t="str">
        <f t="shared" si="57"/>
        <v/>
      </c>
      <c r="N205" s="65" t="str">
        <f t="shared" si="58"/>
        <v/>
      </c>
      <c r="P205" s="70" t="str">
        <f>IF(A204=$D$8,XIRR(H$24:H204,C$24:C204),"")</f>
        <v/>
      </c>
      <c r="Q205" s="74" t="str">
        <f t="shared" si="56"/>
        <v/>
      </c>
      <c r="R205" s="65">
        <f t="shared" si="53"/>
        <v>0</v>
      </c>
      <c r="S205" s="67" t="e">
        <f t="shared" ca="1" si="54"/>
        <v>#VALUE!</v>
      </c>
      <c r="T205" s="67" t="e">
        <f t="shared" ca="1" si="55"/>
        <v>#VALUE!</v>
      </c>
      <c r="U205" s="67" t="e">
        <f t="shared" ca="1" si="66"/>
        <v>#VALUE!</v>
      </c>
      <c r="V205" s="72" t="e">
        <f t="shared" ca="1" si="67"/>
        <v>#VALUE!</v>
      </c>
      <c r="W205" s="73" t="e">
        <f t="shared" ca="1" si="50"/>
        <v>#VALUE!</v>
      </c>
      <c r="X205" s="67"/>
    </row>
    <row r="206" spans="1:24" x14ac:dyDescent="0.35">
      <c r="A206" s="68" t="str">
        <f t="shared" si="51"/>
        <v/>
      </c>
      <c r="B206" s="64" t="str">
        <f t="shared" si="62"/>
        <v/>
      </c>
      <c r="C206" s="64" t="str">
        <f t="shared" ca="1" si="52"/>
        <v xml:space="preserve"> </v>
      </c>
      <c r="D206" s="68" t="str">
        <f t="shared" si="60"/>
        <v/>
      </c>
      <c r="E206" s="65" t="str">
        <f t="shared" si="61"/>
        <v/>
      </c>
      <c r="F206" s="65" t="str">
        <f>IF(AND(A205="",A207=""),"",IF(A206="",ROUND(SUM($F$25:F205),2),IF(A206=$D$8,$E$24-ROUND(SUM($F$25:F205),2),ROUND($E$24/$D$8,2))))</f>
        <v/>
      </c>
      <c r="G206" s="65" t="str">
        <f>IF(A205=$D$8,ROUND(SUM($G$25:G205),2),IF(A206&gt;$D$8,"",IF(T206&lt;&gt;T205,ROUND(SUM(V206*$D$9*E205/T206,W206*$D$9*E205/T205),2),ROUND(E205*$D$9*D206/T205,2))))</f>
        <v/>
      </c>
      <c r="H206" s="65" t="str">
        <f>IF(A205=$D$8,SUM($H$25:H205),IF(A205&gt;$D$8,"",F206+G206))</f>
        <v/>
      </c>
      <c r="I206" s="74" t="str">
        <f t="shared" si="63"/>
        <v/>
      </c>
      <c r="J206" s="74" t="str">
        <f t="shared" ref="J206:J216" si="70">IF(A205=$D$8,$J$24,"")</f>
        <v/>
      </c>
      <c r="K206" s="74"/>
      <c r="L206" s="74" t="str">
        <f t="shared" si="64"/>
        <v/>
      </c>
      <c r="M206" s="65" t="str">
        <f t="shared" si="57"/>
        <v/>
      </c>
      <c r="N206" s="65" t="str">
        <f t="shared" si="58"/>
        <v/>
      </c>
      <c r="P206" s="70" t="str">
        <f>IF(A205=$D$8,XIRR(H$24:H205,C$24:C205),"")</f>
        <v/>
      </c>
      <c r="Q206" s="74" t="str">
        <f t="shared" si="56"/>
        <v/>
      </c>
      <c r="R206" s="65">
        <f t="shared" si="53"/>
        <v>0</v>
      </c>
      <c r="S206" s="67" t="e">
        <f t="shared" ca="1" si="54"/>
        <v>#VALUE!</v>
      </c>
      <c r="T206" s="67" t="e">
        <f t="shared" ca="1" si="55"/>
        <v>#VALUE!</v>
      </c>
      <c r="U206" s="67" t="e">
        <f t="shared" ca="1" si="66"/>
        <v>#VALUE!</v>
      </c>
      <c r="V206" s="72" t="e">
        <f t="shared" ca="1" si="67"/>
        <v>#VALUE!</v>
      </c>
      <c r="W206" s="73" t="e">
        <f t="shared" ca="1" si="50"/>
        <v>#VALUE!</v>
      </c>
      <c r="X206" s="67"/>
    </row>
    <row r="207" spans="1:24" x14ac:dyDescent="0.35">
      <c r="A207" s="68" t="str">
        <f t="shared" si="51"/>
        <v/>
      </c>
      <c r="B207" s="64" t="str">
        <f t="shared" si="62"/>
        <v/>
      </c>
      <c r="C207" s="64" t="str">
        <f t="shared" ca="1" si="52"/>
        <v xml:space="preserve"> </v>
      </c>
      <c r="D207" s="68" t="str">
        <f t="shared" si="60"/>
        <v/>
      </c>
      <c r="E207" s="65" t="str">
        <f t="shared" si="61"/>
        <v/>
      </c>
      <c r="F207" s="65" t="str">
        <f>IF(AND(A206="",A208=""),"",IF(A207="",ROUND(SUM($F$25:F206),2),IF(A207=$D$8,$E$24-ROUND(SUM($F$25:F206),2),ROUND($E$24/$D$8,2))))</f>
        <v/>
      </c>
      <c r="G207" s="65" t="str">
        <f>IF(A206=$D$8,ROUND(SUM($G$25:G206),2),IF(A207&gt;$D$8,"",IF(T207&lt;&gt;T206,ROUND(SUM(V207*$D$9*E206/T207,W207*$D$9*E206/T206),2),ROUND(E206*$D$9*D207/T206,2))))</f>
        <v/>
      </c>
      <c r="H207" s="65" t="str">
        <f>IF(A206=$D$8,SUM($H$25:H206),IF(A206&gt;$D$8,"",F207+G207))</f>
        <v/>
      </c>
      <c r="I207" s="74" t="str">
        <f t="shared" si="63"/>
        <v/>
      </c>
      <c r="J207" s="74" t="str">
        <f t="shared" si="70"/>
        <v/>
      </c>
      <c r="K207" s="74"/>
      <c r="L207" s="74" t="str">
        <f t="shared" si="64"/>
        <v/>
      </c>
      <c r="M207" s="65" t="str">
        <f t="shared" si="57"/>
        <v/>
      </c>
      <c r="N207" s="65" t="str">
        <f t="shared" si="58"/>
        <v/>
      </c>
      <c r="P207" s="70" t="str">
        <f>IF(A206=$D$8,XIRR(H$24:H206,C$24:C206),"")</f>
        <v/>
      </c>
      <c r="Q207" s="74" t="str">
        <f t="shared" si="56"/>
        <v/>
      </c>
      <c r="R207" s="65">
        <f t="shared" si="53"/>
        <v>0</v>
      </c>
      <c r="S207" s="67" t="e">
        <f t="shared" ca="1" si="54"/>
        <v>#VALUE!</v>
      </c>
      <c r="T207" s="67" t="e">
        <f t="shared" ca="1" si="55"/>
        <v>#VALUE!</v>
      </c>
      <c r="U207" s="67" t="e">
        <f t="shared" ca="1" si="66"/>
        <v>#VALUE!</v>
      </c>
      <c r="V207" s="72" t="e">
        <f t="shared" ca="1" si="67"/>
        <v>#VALUE!</v>
      </c>
      <c r="W207" s="73" t="e">
        <f t="shared" ca="1" si="50"/>
        <v>#VALUE!</v>
      </c>
      <c r="X207" s="67"/>
    </row>
    <row r="208" spans="1:24" x14ac:dyDescent="0.35">
      <c r="A208" s="68" t="str">
        <f t="shared" si="51"/>
        <v/>
      </c>
      <c r="B208" s="64" t="str">
        <f t="shared" si="62"/>
        <v/>
      </c>
      <c r="C208" s="64" t="str">
        <f t="shared" ca="1" si="52"/>
        <v xml:space="preserve"> </v>
      </c>
      <c r="D208" s="68" t="str">
        <f t="shared" si="60"/>
        <v/>
      </c>
      <c r="E208" s="65" t="str">
        <f t="shared" si="61"/>
        <v/>
      </c>
      <c r="F208" s="65" t="str">
        <f>IF(AND(A207="",A209=""),"",IF(A208="",ROUND(SUM($F$25:F207),2),IF(A208=$D$8,$E$24-ROUND(SUM($F$25:F207),2),ROUND($E$24/$D$8,2))))</f>
        <v/>
      </c>
      <c r="G208" s="65" t="str">
        <f>IF(A207=$D$8,ROUND(SUM($G$25:G207),2),IF(A208&gt;$D$8,"",IF(T208&lt;&gt;T207,ROUND(SUM(V208*$D$9*E207/T208,W208*$D$9*E207/T207),2),ROUND(E207*$D$9*D208/T207,2))))</f>
        <v/>
      </c>
      <c r="H208" s="65" t="str">
        <f>IF(A207=$D$8,SUM($H$25:H207),IF(A207&gt;$D$8,"",F208+G208))</f>
        <v/>
      </c>
      <c r="I208" s="74" t="str">
        <f t="shared" si="63"/>
        <v/>
      </c>
      <c r="J208" s="74" t="str">
        <f t="shared" si="70"/>
        <v/>
      </c>
      <c r="K208" s="74"/>
      <c r="L208" s="74" t="str">
        <f t="shared" si="64"/>
        <v/>
      </c>
      <c r="M208" s="65" t="str">
        <f t="shared" si="57"/>
        <v/>
      </c>
      <c r="N208" s="65" t="str">
        <f t="shared" si="58"/>
        <v/>
      </c>
      <c r="P208" s="70" t="str">
        <f>IF(A207=$D$8,XIRR(H$24:H207,C$24:C207),"")</f>
        <v/>
      </c>
      <c r="Q208" s="74" t="str">
        <f t="shared" si="56"/>
        <v/>
      </c>
      <c r="R208" s="65">
        <f t="shared" si="53"/>
        <v>0</v>
      </c>
      <c r="S208" s="67" t="e">
        <f t="shared" ca="1" si="54"/>
        <v>#VALUE!</v>
      </c>
      <c r="T208" s="67" t="e">
        <f t="shared" ca="1" si="55"/>
        <v>#VALUE!</v>
      </c>
      <c r="U208" s="67" t="e">
        <f t="shared" ca="1" si="66"/>
        <v>#VALUE!</v>
      </c>
      <c r="V208" s="72" t="e">
        <f t="shared" ca="1" si="67"/>
        <v>#VALUE!</v>
      </c>
      <c r="W208" s="73" t="e">
        <f t="shared" ca="1" si="50"/>
        <v>#VALUE!</v>
      </c>
      <c r="X208" s="67"/>
    </row>
    <row r="209" spans="1:24" x14ac:dyDescent="0.35">
      <c r="A209" s="68" t="str">
        <f t="shared" si="51"/>
        <v/>
      </c>
      <c r="B209" s="64" t="str">
        <f t="shared" si="62"/>
        <v/>
      </c>
      <c r="C209" s="64" t="str">
        <f t="shared" ca="1" si="52"/>
        <v xml:space="preserve"> </v>
      </c>
      <c r="D209" s="68" t="str">
        <f t="shared" si="60"/>
        <v/>
      </c>
      <c r="E209" s="65" t="str">
        <f t="shared" si="61"/>
        <v/>
      </c>
      <c r="F209" s="65" t="str">
        <f>IF(AND(A208="",A210=""),"",IF(A209="",ROUND(SUM($F$25:F208),2),IF(A209=$D$8,$E$24-ROUND(SUM($F$25:F208),2),ROUND($E$24/$D$8,2))))</f>
        <v/>
      </c>
      <c r="G209" s="65" t="str">
        <f>IF(A208=$D$8,ROUND(SUM($G$25:G208),2),IF(A209&gt;$D$8,"",IF(T209&lt;&gt;T208,ROUND(SUM(V209*$D$9*E208/T209,W209*$D$9*E208/T208),2),ROUND(E208*$D$9*D209/T208,2))))</f>
        <v/>
      </c>
      <c r="H209" s="65" t="str">
        <f>IF(A208=$D$8,SUM($H$25:H208),IF(A208&gt;$D$8,"",F209+G209))</f>
        <v/>
      </c>
      <c r="I209" s="74" t="str">
        <f t="shared" si="63"/>
        <v/>
      </c>
      <c r="J209" s="74" t="str">
        <f t="shared" si="70"/>
        <v/>
      </c>
      <c r="K209" s="74"/>
      <c r="L209" s="74" t="str">
        <f t="shared" si="64"/>
        <v/>
      </c>
      <c r="M209" s="65" t="str">
        <f t="shared" si="57"/>
        <v/>
      </c>
      <c r="N209" s="65" t="str">
        <f t="shared" si="58"/>
        <v/>
      </c>
      <c r="P209" s="70" t="str">
        <f>IF(A208=$D$8,XIRR(H$24:H208,C$24:C208),"")</f>
        <v/>
      </c>
      <c r="Q209" s="74" t="str">
        <f t="shared" si="56"/>
        <v/>
      </c>
      <c r="R209" s="65">
        <f t="shared" si="53"/>
        <v>0</v>
      </c>
      <c r="S209" s="67" t="e">
        <f t="shared" ca="1" si="54"/>
        <v>#VALUE!</v>
      </c>
      <c r="T209" s="67" t="e">
        <f t="shared" ca="1" si="55"/>
        <v>#VALUE!</v>
      </c>
      <c r="U209" s="67" t="e">
        <f t="shared" ca="1" si="66"/>
        <v>#VALUE!</v>
      </c>
      <c r="V209" s="72" t="e">
        <f t="shared" ca="1" si="67"/>
        <v>#VALUE!</v>
      </c>
      <c r="W209" s="73" t="e">
        <f t="shared" ca="1" si="50"/>
        <v>#VALUE!</v>
      </c>
      <c r="X209" s="67"/>
    </row>
    <row r="210" spans="1:24" x14ac:dyDescent="0.35">
      <c r="A210" s="68" t="str">
        <f t="shared" si="51"/>
        <v/>
      </c>
      <c r="B210" s="64" t="str">
        <f t="shared" si="62"/>
        <v/>
      </c>
      <c r="C210" s="64" t="str">
        <f t="shared" ca="1" si="52"/>
        <v xml:space="preserve"> </v>
      </c>
      <c r="D210" s="68" t="str">
        <f t="shared" si="60"/>
        <v/>
      </c>
      <c r="E210" s="65" t="str">
        <f t="shared" si="61"/>
        <v/>
      </c>
      <c r="F210" s="65" t="str">
        <f>IF(AND(A209="",A211=""),"",IF(A210="",ROUND(SUM($F$25:F209),2),IF(A210=$D$8,$E$24-ROUND(SUM($F$25:F209),2),ROUND($E$24/$D$8,2))))</f>
        <v/>
      </c>
      <c r="G210" s="65" t="str">
        <f>IF(A209=$D$8,ROUND(SUM($G$25:G209),2),IF(A210&gt;$D$8,"",IF(T210&lt;&gt;T209,ROUND(SUM(V210*$D$9*E209/T210,W210*$D$9*E209/T209),2),ROUND(E209*$D$9*D210/T209,2))))</f>
        <v/>
      </c>
      <c r="H210" s="65" t="str">
        <f>IF(A209=$D$8,SUM($H$25:H209),IF(A209&gt;$D$8,"",F210+G210))</f>
        <v/>
      </c>
      <c r="I210" s="74" t="str">
        <f t="shared" si="63"/>
        <v/>
      </c>
      <c r="J210" s="74" t="str">
        <f t="shared" si="70"/>
        <v/>
      </c>
      <c r="K210" s="74"/>
      <c r="L210" s="74" t="str">
        <f t="shared" si="64"/>
        <v/>
      </c>
      <c r="M210" s="65" t="str">
        <f t="shared" si="57"/>
        <v/>
      </c>
      <c r="N210" s="65" t="str">
        <f t="shared" si="58"/>
        <v/>
      </c>
      <c r="P210" s="70" t="str">
        <f>IF(A209=$D$8,XIRR(H$24:H209,C$24:C209),"")</f>
        <v/>
      </c>
      <c r="Q210" s="74" t="str">
        <f t="shared" si="56"/>
        <v/>
      </c>
      <c r="R210" s="65">
        <f t="shared" si="53"/>
        <v>0</v>
      </c>
      <c r="S210" s="67" t="e">
        <f t="shared" ca="1" si="54"/>
        <v>#VALUE!</v>
      </c>
      <c r="T210" s="67" t="e">
        <f t="shared" ca="1" si="55"/>
        <v>#VALUE!</v>
      </c>
      <c r="U210" s="67" t="e">
        <f t="shared" ca="1" si="66"/>
        <v>#VALUE!</v>
      </c>
      <c r="V210" s="72" t="e">
        <f t="shared" ca="1" si="67"/>
        <v>#VALUE!</v>
      </c>
      <c r="W210" s="73" t="e">
        <f t="shared" ca="1" si="50"/>
        <v>#VALUE!</v>
      </c>
      <c r="X210" s="67"/>
    </row>
    <row r="211" spans="1:24" x14ac:dyDescent="0.35">
      <c r="A211" s="68" t="str">
        <f t="shared" si="51"/>
        <v/>
      </c>
      <c r="B211" s="64" t="str">
        <f t="shared" si="62"/>
        <v/>
      </c>
      <c r="C211" s="64" t="str">
        <f t="shared" ca="1" si="52"/>
        <v xml:space="preserve"> </v>
      </c>
      <c r="D211" s="68" t="str">
        <f t="shared" si="60"/>
        <v/>
      </c>
      <c r="E211" s="65" t="str">
        <f t="shared" si="61"/>
        <v/>
      </c>
      <c r="F211" s="65" t="str">
        <f>IF(AND(A210="",A212=""),"",IF(A211="",ROUND(SUM($F$25:F210),2),IF(A211=$D$8,$E$24-ROUND(SUM($F$25:F210),2),ROUND($E$24/$D$8,2))))</f>
        <v/>
      </c>
      <c r="G211" s="65" t="str">
        <f>IF(A210=$D$8,ROUND(SUM($G$25:G210),2),IF(A211&gt;$D$8,"",IF(T211&lt;&gt;T210,ROUND(SUM(V211*$D$9*E210/T211,W211*$D$9*E210/T210),2),ROUND(E210*$D$9*D211/T210,2))))</f>
        <v/>
      </c>
      <c r="H211" s="65" t="str">
        <f>IF(A210=$D$8,SUM($H$25:H210),IF(A210&gt;$D$8,"",F211+G211))</f>
        <v/>
      </c>
      <c r="I211" s="74" t="str">
        <f t="shared" si="63"/>
        <v/>
      </c>
      <c r="J211" s="74" t="str">
        <f t="shared" si="70"/>
        <v/>
      </c>
      <c r="K211" s="74"/>
      <c r="L211" s="74" t="str">
        <f t="shared" si="64"/>
        <v/>
      </c>
      <c r="M211" s="65" t="str">
        <f t="shared" si="57"/>
        <v/>
      </c>
      <c r="N211" s="65" t="str">
        <f t="shared" si="58"/>
        <v/>
      </c>
      <c r="P211" s="70" t="str">
        <f>IF(A210=$D$8,XIRR(H$24:H210,C$24:C210),"")</f>
        <v/>
      </c>
      <c r="Q211" s="74" t="str">
        <f t="shared" si="56"/>
        <v/>
      </c>
      <c r="R211" s="65">
        <f t="shared" si="53"/>
        <v>0</v>
      </c>
      <c r="S211" s="67" t="e">
        <f t="shared" ca="1" si="54"/>
        <v>#VALUE!</v>
      </c>
      <c r="T211" s="67" t="e">
        <f t="shared" ca="1" si="55"/>
        <v>#VALUE!</v>
      </c>
      <c r="U211" s="67" t="e">
        <f t="shared" ca="1" si="66"/>
        <v>#VALUE!</v>
      </c>
      <c r="V211" s="72" t="e">
        <f t="shared" ca="1" si="67"/>
        <v>#VALUE!</v>
      </c>
      <c r="W211" s="73" t="e">
        <f t="shared" ca="1" si="50"/>
        <v>#VALUE!</v>
      </c>
      <c r="X211" s="67"/>
    </row>
    <row r="212" spans="1:24" x14ac:dyDescent="0.35">
      <c r="A212" s="68" t="str">
        <f t="shared" si="51"/>
        <v/>
      </c>
      <c r="B212" s="64" t="str">
        <f t="shared" si="62"/>
        <v/>
      </c>
      <c r="C212" s="64" t="str">
        <f t="shared" ca="1" si="52"/>
        <v xml:space="preserve"> </v>
      </c>
      <c r="D212" s="68" t="str">
        <f t="shared" si="60"/>
        <v/>
      </c>
      <c r="E212" s="65" t="str">
        <f t="shared" si="61"/>
        <v/>
      </c>
      <c r="F212" s="65" t="str">
        <f>IF(AND(A211="",A213=""),"",IF(A212="",ROUND(SUM($F$25:F211),2),IF(A212=$D$8,$E$24-ROUND(SUM($F$25:F211),2),ROUND($E$24/$D$8,2))))</f>
        <v/>
      </c>
      <c r="G212" s="65" t="str">
        <f>IF(A211=$D$8,ROUND(SUM($G$25:G211),2),IF(A212&gt;$D$8,"",IF(T212&lt;&gt;T211,ROUND(SUM(V212*$D$9*E211/T212,W212*$D$9*E211/T211),2),ROUND(E211*$D$9*D212/T211,2))))</f>
        <v/>
      </c>
      <c r="H212" s="65" t="str">
        <f>IF(A211=$D$8,SUM($H$25:H211),IF(A211&gt;$D$8,"",F212+G212))</f>
        <v/>
      </c>
      <c r="I212" s="74" t="str">
        <f t="shared" si="63"/>
        <v/>
      </c>
      <c r="J212" s="74" t="str">
        <f t="shared" si="70"/>
        <v/>
      </c>
      <c r="K212" s="74"/>
      <c r="L212" s="74" t="str">
        <f t="shared" si="64"/>
        <v/>
      </c>
      <c r="M212" s="65" t="str">
        <f t="shared" si="57"/>
        <v/>
      </c>
      <c r="N212" s="65" t="str">
        <f t="shared" si="58"/>
        <v/>
      </c>
      <c r="P212" s="70" t="str">
        <f>IF(A211=$D$8,XIRR(H$24:H211,C$24:C211),"")</f>
        <v/>
      </c>
      <c r="Q212" s="74" t="str">
        <f t="shared" si="56"/>
        <v/>
      </c>
      <c r="R212" s="65">
        <f t="shared" si="53"/>
        <v>0</v>
      </c>
      <c r="S212" s="67" t="e">
        <f t="shared" ca="1" si="54"/>
        <v>#VALUE!</v>
      </c>
      <c r="T212" s="67" t="e">
        <f t="shared" ca="1" si="55"/>
        <v>#VALUE!</v>
      </c>
      <c r="U212" s="67" t="e">
        <f t="shared" ca="1" si="66"/>
        <v>#VALUE!</v>
      </c>
      <c r="V212" s="72" t="e">
        <f t="shared" ca="1" si="67"/>
        <v>#VALUE!</v>
      </c>
      <c r="W212" s="73" t="e">
        <f t="shared" ca="1" si="50"/>
        <v>#VALUE!</v>
      </c>
    </row>
    <row r="213" spans="1:24" x14ac:dyDescent="0.35">
      <c r="A213" s="68" t="str">
        <f t="shared" si="51"/>
        <v/>
      </c>
      <c r="B213" s="64" t="str">
        <f t="shared" si="62"/>
        <v/>
      </c>
      <c r="C213" s="64" t="str">
        <f t="shared" ca="1" si="52"/>
        <v xml:space="preserve"> </v>
      </c>
      <c r="D213" s="68" t="str">
        <f t="shared" si="60"/>
        <v/>
      </c>
      <c r="E213" s="65" t="str">
        <f t="shared" si="61"/>
        <v/>
      </c>
      <c r="F213" s="65" t="str">
        <f>IF(AND(A212="",A214=""),"",IF(A213="",ROUND(SUM($F$25:F212),2),IF(A213=$D$8,$E$24-ROUND(SUM($F$25:F212),2),ROUND($E$24/$D$8,2))))</f>
        <v/>
      </c>
      <c r="G213" s="65" t="str">
        <f>IF(A212=$D$8,ROUND(SUM($G$25:G212),2),IF(A213&gt;$D$8,"",IF(T213&lt;&gt;T212,ROUND(SUM(V213*$D$9*E212/T213,W213*$D$9*E212/T212),2),ROUND(E212*$D$9*D213/T212,2))))</f>
        <v/>
      </c>
      <c r="H213" s="65" t="str">
        <f>IF(A212=$D$8,SUM($H$25:H212),IF(A212&gt;$D$8,"",F213+G213))</f>
        <v/>
      </c>
      <c r="I213" s="74" t="str">
        <f t="shared" si="63"/>
        <v/>
      </c>
      <c r="J213" s="74" t="str">
        <f t="shared" si="70"/>
        <v/>
      </c>
      <c r="K213" s="74"/>
      <c r="L213" s="74" t="str">
        <f t="shared" si="64"/>
        <v/>
      </c>
      <c r="M213" s="65" t="str">
        <f t="shared" si="57"/>
        <v/>
      </c>
      <c r="N213" s="65" t="str">
        <f t="shared" si="58"/>
        <v/>
      </c>
      <c r="P213" s="70" t="str">
        <f>IF(A212=$D$8,XIRR(H$24:H212,C$24:C212),"")</f>
        <v/>
      </c>
      <c r="Q213" s="74" t="str">
        <f t="shared" si="56"/>
        <v/>
      </c>
      <c r="R213" s="65">
        <f t="shared" si="53"/>
        <v>0</v>
      </c>
      <c r="S213" s="67" t="e">
        <f t="shared" ca="1" si="54"/>
        <v>#VALUE!</v>
      </c>
      <c r="T213" s="67" t="e">
        <f t="shared" ca="1" si="55"/>
        <v>#VALUE!</v>
      </c>
      <c r="U213" s="67" t="e">
        <f t="shared" ca="1" si="66"/>
        <v>#VALUE!</v>
      </c>
      <c r="V213" s="72" t="e">
        <f t="shared" ca="1" si="67"/>
        <v>#VALUE!</v>
      </c>
      <c r="W213" s="73" t="e">
        <f t="shared" ref="W213:W264" ca="1" si="71">D213-V213</f>
        <v>#VALUE!</v>
      </c>
    </row>
    <row r="214" spans="1:24" x14ac:dyDescent="0.35">
      <c r="A214" s="68" t="str">
        <f t="shared" si="51"/>
        <v/>
      </c>
      <c r="B214" s="64" t="str">
        <f t="shared" si="62"/>
        <v/>
      </c>
      <c r="C214" s="64" t="str">
        <f t="shared" ca="1" si="52"/>
        <v xml:space="preserve"> </v>
      </c>
      <c r="D214" s="68" t="str">
        <f t="shared" si="60"/>
        <v/>
      </c>
      <c r="E214" s="65" t="str">
        <f t="shared" si="61"/>
        <v/>
      </c>
      <c r="F214" s="65" t="str">
        <f>IF(AND(A213="",A215=""),"",IF(A214="",ROUND(SUM($F$25:F213),2),IF(A214=$D$8,$E$24-ROUND(SUM($F$25:F213),2),ROUND($E$24/$D$8,2))))</f>
        <v/>
      </c>
      <c r="G214" s="65" t="str">
        <f>IF(A213=$D$8,ROUND(SUM($G$25:G213),2),IF(A214&gt;$D$8,"",IF(T214&lt;&gt;T213,ROUND(SUM(V214*$D$9*E213/T214,W214*$D$9*E213/T213),2),ROUND(E213*$D$9*D214/T213,2))))</f>
        <v/>
      </c>
      <c r="H214" s="65" t="str">
        <f>IF(A213=$D$8,SUM($H$25:H213),IF(A213&gt;$D$8,"",F214+G214))</f>
        <v/>
      </c>
      <c r="I214" s="74" t="str">
        <f t="shared" si="63"/>
        <v/>
      </c>
      <c r="J214" s="74" t="str">
        <f t="shared" si="70"/>
        <v/>
      </c>
      <c r="K214" s="74"/>
      <c r="L214" s="74" t="str">
        <f t="shared" si="64"/>
        <v/>
      </c>
      <c r="M214" s="65" t="str">
        <f t="shared" si="57"/>
        <v/>
      </c>
      <c r="N214" s="65" t="str">
        <f t="shared" si="58"/>
        <v/>
      </c>
      <c r="P214" s="70" t="str">
        <f>IF(A213=$D$8,XIRR(H$24:H213,C$24:C213),"")</f>
        <v/>
      </c>
      <c r="Q214" s="74" t="str">
        <f t="shared" si="56"/>
        <v/>
      </c>
      <c r="R214" s="65">
        <f t="shared" si="53"/>
        <v>0</v>
      </c>
      <c r="S214" s="67" t="e">
        <f t="shared" ca="1" si="54"/>
        <v>#VALUE!</v>
      </c>
      <c r="T214" s="67" t="e">
        <f t="shared" ca="1" si="55"/>
        <v>#VALUE!</v>
      </c>
      <c r="U214" s="67" t="e">
        <f t="shared" ca="1" si="66"/>
        <v>#VALUE!</v>
      </c>
      <c r="V214" s="72" t="e">
        <f t="shared" ca="1" si="67"/>
        <v>#VALUE!</v>
      </c>
      <c r="W214" s="73" t="e">
        <f t="shared" ca="1" si="71"/>
        <v>#VALUE!</v>
      </c>
    </row>
    <row r="215" spans="1:24" x14ac:dyDescent="0.35">
      <c r="A215" s="68" t="str">
        <f t="shared" si="51"/>
        <v/>
      </c>
      <c r="B215" s="64" t="str">
        <f t="shared" si="62"/>
        <v/>
      </c>
      <c r="C215" s="64" t="str">
        <f t="shared" ca="1" si="52"/>
        <v xml:space="preserve"> </v>
      </c>
      <c r="D215" s="68" t="str">
        <f t="shared" si="60"/>
        <v/>
      </c>
      <c r="E215" s="65" t="str">
        <f t="shared" si="61"/>
        <v/>
      </c>
      <c r="F215" s="65" t="str">
        <f>IF(AND(A214="",A216=""),"",IF(A215="",ROUND(SUM($F$25:F214),2),IF(A215=$D$8,$E$24-ROUND(SUM($F$25:F214),2),ROUND($E$24/$D$8,2))))</f>
        <v/>
      </c>
      <c r="G215" s="65" t="str">
        <f>IF(A214=$D$8,ROUND(SUM($G$25:G214),2),IF(A215&gt;$D$8,"",IF(T215&lt;&gt;T214,ROUND(SUM(V215*$D$9*E214/T215,W215*$D$9*E214/T214),2),ROUND(E214*$D$9*D215/T214,2))))</f>
        <v/>
      </c>
      <c r="H215" s="65" t="str">
        <f>IF(A214=$D$8,SUM($H$25:H214),IF(A214&gt;$D$8,"",F215+G215))</f>
        <v/>
      </c>
      <c r="I215" s="74" t="str">
        <f t="shared" si="63"/>
        <v/>
      </c>
      <c r="J215" s="74" t="str">
        <f t="shared" si="70"/>
        <v/>
      </c>
      <c r="K215" s="74"/>
      <c r="L215" s="74" t="str">
        <f t="shared" si="64"/>
        <v/>
      </c>
      <c r="M215" s="65" t="str">
        <f t="shared" si="57"/>
        <v/>
      </c>
      <c r="N215" s="65" t="str">
        <f t="shared" si="58"/>
        <v/>
      </c>
      <c r="P215" s="70" t="str">
        <f>IF(A214=$D$8,XIRR(H$24:H214,C$24:C214),"")</f>
        <v/>
      </c>
      <c r="Q215" s="74" t="str">
        <f t="shared" si="56"/>
        <v/>
      </c>
      <c r="R215" s="65">
        <f t="shared" si="53"/>
        <v>0</v>
      </c>
      <c r="S215" s="67" t="e">
        <f t="shared" ca="1" si="54"/>
        <v>#VALUE!</v>
      </c>
      <c r="T215" s="67" t="e">
        <f t="shared" ca="1" si="55"/>
        <v>#VALUE!</v>
      </c>
      <c r="U215" s="67" t="e">
        <f t="shared" ca="1" si="66"/>
        <v>#VALUE!</v>
      </c>
      <c r="V215" s="72" t="e">
        <f t="shared" ca="1" si="67"/>
        <v>#VALUE!</v>
      </c>
      <c r="W215" s="73" t="e">
        <f t="shared" ca="1" si="71"/>
        <v>#VALUE!</v>
      </c>
    </row>
    <row r="216" spans="1:24" x14ac:dyDescent="0.35">
      <c r="A216" s="68" t="str">
        <f t="shared" si="51"/>
        <v/>
      </c>
      <c r="B216" s="64" t="str">
        <f t="shared" si="62"/>
        <v/>
      </c>
      <c r="C216" s="64" t="str">
        <f t="shared" ca="1" si="52"/>
        <v xml:space="preserve"> </v>
      </c>
      <c r="D216" s="68" t="str">
        <f t="shared" si="60"/>
        <v/>
      </c>
      <c r="E216" s="65" t="str">
        <f t="shared" si="61"/>
        <v/>
      </c>
      <c r="F216" s="65" t="str">
        <f>IF(AND(A215="",A217=""),"",IF(A216="",ROUND(SUM($F$25:F215),2),IF(A216=$D$8,$E$24-ROUND(SUM($F$25:F215),2),ROUND($E$24/$D$8,2))))</f>
        <v/>
      </c>
      <c r="G216" s="65" t="str">
        <f>IF(A215=$D$8,ROUND(SUM($G$25:G215),2),IF(A216&gt;$D$8,"",IF(T216&lt;&gt;T215,ROUND(SUM(V216*$D$9*E215/T216,W216*$D$9*E215/T215),2),ROUND(E215*$D$9*D216/T215,2))))</f>
        <v/>
      </c>
      <c r="H216" s="65" t="str">
        <f>IF(A215=$D$8,SUM($H$25:H215),IF(A215&gt;$D$8,"",F216+G216))</f>
        <v/>
      </c>
      <c r="I216" s="74" t="str">
        <f t="shared" si="63"/>
        <v/>
      </c>
      <c r="J216" s="74" t="str">
        <f t="shared" si="70"/>
        <v/>
      </c>
      <c r="K216" s="74"/>
      <c r="L216" s="74" t="str">
        <f t="shared" si="64"/>
        <v/>
      </c>
      <c r="M216" s="65" t="str">
        <f t="shared" si="57"/>
        <v/>
      </c>
      <c r="N216" s="65" t="str">
        <f t="shared" si="58"/>
        <v/>
      </c>
      <c r="P216" s="70" t="str">
        <f>IF(A215=$D$8,XIRR(H$24:H215,C$24:C215),"")</f>
        <v/>
      </c>
      <c r="Q216" s="74" t="str">
        <f t="shared" si="56"/>
        <v/>
      </c>
      <c r="R216" s="65">
        <f t="shared" si="53"/>
        <v>0</v>
      </c>
      <c r="S216" s="67" t="e">
        <f t="shared" ca="1" si="54"/>
        <v>#VALUE!</v>
      </c>
      <c r="T216" s="67" t="e">
        <f t="shared" ca="1" si="55"/>
        <v>#VALUE!</v>
      </c>
      <c r="U216" s="67" t="e">
        <f t="shared" ca="1" si="66"/>
        <v>#VALUE!</v>
      </c>
      <c r="V216" s="72" t="e">
        <f t="shared" ca="1" si="67"/>
        <v>#VALUE!</v>
      </c>
      <c r="W216" s="73" t="e">
        <f t="shared" ca="1" si="71"/>
        <v>#VALUE!</v>
      </c>
    </row>
    <row r="217" spans="1:24" x14ac:dyDescent="0.35">
      <c r="A217" s="68" t="str">
        <f t="shared" si="51"/>
        <v/>
      </c>
      <c r="B217" s="64" t="str">
        <f t="shared" si="62"/>
        <v/>
      </c>
      <c r="C217" s="64" t="str">
        <f t="shared" ca="1" si="52"/>
        <v xml:space="preserve"> </v>
      </c>
      <c r="D217" s="68" t="str">
        <f t="shared" si="60"/>
        <v/>
      </c>
      <c r="E217" s="65" t="str">
        <f t="shared" si="61"/>
        <v/>
      </c>
      <c r="F217" s="65" t="str">
        <f>IF(AND(A216="",A218=""),"",IF(A217="",ROUND(SUM($F$25:F216),2),IF(A217=$D$8,$E$24-ROUND(SUM($F$25:F216),2),ROUND($E$24/$D$8,2))))</f>
        <v/>
      </c>
      <c r="G217" s="65" t="str">
        <f>IF(A216=$D$8,ROUND(SUM($G$25:G216),2),IF(A217&gt;$D$8,"",IF(T217&lt;&gt;T216,ROUND(SUM(V217*$D$9*E216/T217,W217*$D$9*E216/T216),2),ROUND(E216*$D$9*D217/T216,2))))</f>
        <v/>
      </c>
      <c r="H217" s="65" t="str">
        <f>IF(A216=$D$8,SUM($H$25:H216),IF(A216&gt;$D$8,"",F217+G217))</f>
        <v/>
      </c>
      <c r="I217" s="74" t="str">
        <f t="shared" si="63"/>
        <v/>
      </c>
      <c r="J217" s="74" t="str">
        <f>IF($D$8&gt;A216,$N$9,IF($D$8=A216,SUM($J$24:J216)," "))</f>
        <v xml:space="preserve"> </v>
      </c>
      <c r="K217" s="74" t="str">
        <f>IF($D$8&gt;A216,($O$8+$N$10*E216),IF(A216=$D$8,$K$37+$K$24+$K$49+$K$61+$K$73+$K$85+$K$97+$K$109+$K$121+$K$133+$K$145+$K$157+$K$169+$K$181+$K$193+$K$205,""))</f>
        <v/>
      </c>
      <c r="L217" s="74" t="str">
        <f t="shared" si="64"/>
        <v/>
      </c>
      <c r="M217" s="65" t="str">
        <f t="shared" si="57"/>
        <v/>
      </c>
      <c r="N217" s="65" t="str">
        <f t="shared" si="58"/>
        <v/>
      </c>
      <c r="P217" s="70" t="str">
        <f>IF(A216=$D$8,XIRR(H$24:H216,C$24:C216),"")</f>
        <v/>
      </c>
      <c r="Q217" s="74" t="str">
        <f t="shared" si="56"/>
        <v/>
      </c>
      <c r="R217" s="65">
        <f t="shared" si="53"/>
        <v>0</v>
      </c>
      <c r="S217" s="67" t="e">
        <f t="shared" ca="1" si="54"/>
        <v>#VALUE!</v>
      </c>
      <c r="T217" s="67" t="e">
        <f t="shared" ca="1" si="55"/>
        <v>#VALUE!</v>
      </c>
      <c r="U217" s="67" t="e">
        <f t="shared" ca="1" si="66"/>
        <v>#VALUE!</v>
      </c>
      <c r="V217" s="72" t="e">
        <f t="shared" ca="1" si="67"/>
        <v>#VALUE!</v>
      </c>
      <c r="W217" s="73" t="e">
        <f t="shared" ca="1" si="71"/>
        <v>#VALUE!</v>
      </c>
    </row>
    <row r="218" spans="1:24" x14ac:dyDescent="0.35">
      <c r="A218" s="68" t="str">
        <f t="shared" ref="A218:A261" si="72">IF(A217&lt;$D$8,A217+1,"")</f>
        <v/>
      </c>
      <c r="B218" s="64" t="str">
        <f t="shared" si="62"/>
        <v/>
      </c>
      <c r="C218" s="64" t="str">
        <f t="shared" ref="C218:C264" ca="1" si="73">IF(B218=$D$10,B218-1,(IF(B218&gt;$D$10," ",B218)))</f>
        <v xml:space="preserve"> </v>
      </c>
      <c r="D218" s="68" t="str">
        <f t="shared" si="60"/>
        <v/>
      </c>
      <c r="E218" s="65" t="str">
        <f t="shared" si="61"/>
        <v/>
      </c>
      <c r="F218" s="65" t="str">
        <f>IF(AND(A217="",A219=""),"",IF(A218="",ROUND(SUM($F$25:F217),2),IF(A218=$D$8,$E$24-ROUND(SUM($F$25:F217),2),ROUND($E$24/$D$8,2))))</f>
        <v/>
      </c>
      <c r="G218" s="65" t="str">
        <f>IF(A217=$D$8,ROUND(SUM($G$25:G217),2),IF(A218&gt;$D$8,"",IF(T218&lt;&gt;T217,ROUND(SUM(V218*$D$9*E217/T218,W218*$D$9*E217/T217),2),ROUND(E217*$D$9*D218/T217,2))))</f>
        <v/>
      </c>
      <c r="H218" s="65" t="str">
        <f>IF(A217=$D$8,SUM($H$25:H217),IF(A217&gt;$D$8,"",F218+G218))</f>
        <v/>
      </c>
      <c r="I218" s="74" t="str">
        <f t="shared" si="63"/>
        <v/>
      </c>
      <c r="J218" s="74" t="str">
        <f t="shared" ref="J218:J228" si="74">IF(A217=$D$8,$J$24,"")</f>
        <v/>
      </c>
      <c r="K218" s="74"/>
      <c r="L218" s="74" t="str">
        <f t="shared" si="64"/>
        <v/>
      </c>
      <c r="M218" s="65" t="str">
        <f t="shared" si="57"/>
        <v/>
      </c>
      <c r="N218" s="65" t="str">
        <f t="shared" si="58"/>
        <v/>
      </c>
      <c r="P218" s="70" t="str">
        <f>IF(A217=$D$8,XIRR(H$24:H217,C$24:C217),"")</f>
        <v/>
      </c>
      <c r="Q218" s="74" t="str">
        <f t="shared" si="56"/>
        <v/>
      </c>
      <c r="R218" s="65">
        <f t="shared" ref="R218:R264" si="75">SUM(H218:Q218)</f>
        <v>0</v>
      </c>
      <c r="S218" s="67" t="e">
        <f t="shared" ref="S218:S265" ca="1" si="76">IF(C218="","",YEAR(C218))</f>
        <v>#VALUE!</v>
      </c>
      <c r="T218" s="67" t="e">
        <f t="shared" ref="T218:T264" ca="1" si="77">IF(OR(S218=2024,S218=2028,S218=2016,S218=2020,S218=2024,S218=2028,S218=2032,S218=2036,S218=2040),366,365)</f>
        <v>#VALUE!</v>
      </c>
      <c r="U218" s="67" t="e">
        <f t="shared" ca="1" si="66"/>
        <v>#VALUE!</v>
      </c>
      <c r="V218" s="72" t="e">
        <f t="shared" ca="1" si="67"/>
        <v>#VALUE!</v>
      </c>
      <c r="W218" s="73" t="e">
        <f t="shared" ca="1" si="71"/>
        <v>#VALUE!</v>
      </c>
    </row>
    <row r="219" spans="1:24" x14ac:dyDescent="0.35">
      <c r="A219" s="68" t="str">
        <f t="shared" si="72"/>
        <v/>
      </c>
      <c r="B219" s="64" t="str">
        <f t="shared" si="62"/>
        <v/>
      </c>
      <c r="C219" s="64" t="str">
        <f t="shared" ca="1" si="73"/>
        <v xml:space="preserve"> </v>
      </c>
      <c r="D219" s="68" t="str">
        <f t="shared" si="60"/>
        <v/>
      </c>
      <c r="E219" s="65" t="str">
        <f t="shared" si="61"/>
        <v/>
      </c>
      <c r="F219" s="65" t="str">
        <f>IF(AND(A218="",A220=""),"",IF(A219="",ROUND(SUM($F$25:F218),2),IF(A219=$D$8,$E$24-ROUND(SUM($F$25:F218),2),ROUND($E$24/$D$8,2))))</f>
        <v/>
      </c>
      <c r="G219" s="65" t="str">
        <f>IF(A218=$D$8,ROUND(SUM($G$25:G218),2),IF(A219&gt;$D$8,"",IF(T219&lt;&gt;T218,ROUND(SUM(V219*$D$9*E218/T219,W219*$D$9*E218/T218),2),ROUND(E218*$D$9*D219/T218,2))))</f>
        <v/>
      </c>
      <c r="H219" s="65" t="str">
        <f>IF(A218=$D$8,SUM($H$25:H218),IF(A218&gt;$D$8,"",F219+G219))</f>
        <v/>
      </c>
      <c r="I219" s="74" t="str">
        <f t="shared" si="63"/>
        <v/>
      </c>
      <c r="J219" s="74" t="str">
        <f t="shared" si="74"/>
        <v/>
      </c>
      <c r="K219" s="74"/>
      <c r="L219" s="74" t="str">
        <f t="shared" si="64"/>
        <v/>
      </c>
      <c r="M219" s="65" t="str">
        <f t="shared" si="57"/>
        <v/>
      </c>
      <c r="N219" s="65" t="str">
        <f t="shared" si="58"/>
        <v/>
      </c>
      <c r="P219" s="70" t="str">
        <f>IF(A218=$D$8,XIRR(H$24:H218,C$24:C218),"")</f>
        <v/>
      </c>
      <c r="Q219" s="74" t="str">
        <f t="shared" ref="Q219:Q265" si="78">IF(A218=$D$8,G219+M219+F219+I219+J219+K219+L219+N219+O219,"")</f>
        <v/>
      </c>
      <c r="R219" s="65">
        <f t="shared" si="75"/>
        <v>0</v>
      </c>
      <c r="S219" s="67" t="e">
        <f t="shared" ca="1" si="76"/>
        <v>#VALUE!</v>
      </c>
      <c r="T219" s="67" t="e">
        <f t="shared" ca="1" si="77"/>
        <v>#VALUE!</v>
      </c>
      <c r="U219" s="67" t="e">
        <f t="shared" ca="1" si="66"/>
        <v>#VALUE!</v>
      </c>
      <c r="V219" s="72" t="e">
        <f t="shared" ca="1" si="67"/>
        <v>#VALUE!</v>
      </c>
      <c r="W219" s="73" t="e">
        <f t="shared" ca="1" si="71"/>
        <v>#VALUE!</v>
      </c>
    </row>
    <row r="220" spans="1:24" x14ac:dyDescent="0.35">
      <c r="A220" s="68" t="str">
        <f t="shared" si="72"/>
        <v/>
      </c>
      <c r="B220" s="64" t="str">
        <f t="shared" si="62"/>
        <v/>
      </c>
      <c r="C220" s="64" t="str">
        <f t="shared" ca="1" si="73"/>
        <v xml:space="preserve"> </v>
      </c>
      <c r="D220" s="68" t="str">
        <f t="shared" si="60"/>
        <v/>
      </c>
      <c r="E220" s="65" t="str">
        <f t="shared" si="61"/>
        <v/>
      </c>
      <c r="F220" s="65" t="str">
        <f>IF(AND(A219="",A221=""),"",IF(A220="",ROUND(SUM($F$25:F219),2),IF(A220=$D$8,$E$24-ROUND(SUM($F$25:F219),2),ROUND($E$24/$D$8,2))))</f>
        <v/>
      </c>
      <c r="G220" s="65" t="str">
        <f>IF(A219=$D$8,ROUND(SUM($G$25:G219),2),IF(A220&gt;$D$8,"",IF(T220&lt;&gt;T219,ROUND(SUM(V220*$D$9*E219/T220,W220*$D$9*E219/T219),2),ROUND(E219*$D$9*D220/T219,2))))</f>
        <v/>
      </c>
      <c r="H220" s="65" t="str">
        <f>IF(A219=$D$8,SUM($H$25:H219),IF(A219&gt;$D$8,"",F220+G220))</f>
        <v/>
      </c>
      <c r="I220" s="74" t="str">
        <f t="shared" si="63"/>
        <v/>
      </c>
      <c r="J220" s="74" t="str">
        <f t="shared" si="74"/>
        <v/>
      </c>
      <c r="K220" s="74"/>
      <c r="L220" s="74" t="str">
        <f t="shared" si="64"/>
        <v/>
      </c>
      <c r="M220" s="65" t="str">
        <f t="shared" ref="M220:M265" si="79">IF(A219=$D$8,$M$24,"")</f>
        <v/>
      </c>
      <c r="N220" s="65" t="str">
        <f t="shared" si="58"/>
        <v/>
      </c>
      <c r="P220" s="70" t="str">
        <f>IF(A219=$D$8,XIRR(H$24:H219,C$24:C219),"")</f>
        <v/>
      </c>
      <c r="Q220" s="74" t="str">
        <f t="shared" si="78"/>
        <v/>
      </c>
      <c r="R220" s="65">
        <f t="shared" si="75"/>
        <v>0</v>
      </c>
      <c r="S220" s="67" t="e">
        <f t="shared" ca="1" si="76"/>
        <v>#VALUE!</v>
      </c>
      <c r="T220" s="67" t="e">
        <f t="shared" ca="1" si="77"/>
        <v>#VALUE!</v>
      </c>
      <c r="U220" s="67" t="e">
        <f t="shared" ca="1" si="66"/>
        <v>#VALUE!</v>
      </c>
      <c r="V220" s="72" t="e">
        <f t="shared" ca="1" si="67"/>
        <v>#VALUE!</v>
      </c>
      <c r="W220" s="73" t="e">
        <f t="shared" ca="1" si="71"/>
        <v>#VALUE!</v>
      </c>
    </row>
    <row r="221" spans="1:24" x14ac:dyDescent="0.35">
      <c r="A221" s="68" t="str">
        <f t="shared" si="72"/>
        <v/>
      </c>
      <c r="B221" s="64" t="str">
        <f t="shared" si="62"/>
        <v/>
      </c>
      <c r="C221" s="64" t="str">
        <f t="shared" ca="1" si="73"/>
        <v xml:space="preserve"> </v>
      </c>
      <c r="D221" s="68" t="str">
        <f t="shared" si="60"/>
        <v/>
      </c>
      <c r="E221" s="65" t="str">
        <f t="shared" si="61"/>
        <v/>
      </c>
      <c r="F221" s="65" t="str">
        <f>IF(AND(A220="",A222=""),"",IF(A221="",ROUND(SUM($F$25:F220),2),IF(A221=$D$8,$E$24-ROUND(SUM($F$25:F220),2),ROUND($E$24/$D$8,2))))</f>
        <v/>
      </c>
      <c r="G221" s="65" t="str">
        <f>IF(A220=$D$8,ROUND(SUM($G$25:G220),2),IF(A221&gt;$D$8,"",IF(T221&lt;&gt;T220,ROUND(SUM(V221*$D$9*E220/T221,W221*$D$9*E220/T220),2),ROUND(E220*$D$9*D221/T220,2))))</f>
        <v/>
      </c>
      <c r="H221" s="65" t="str">
        <f>IF(A220=$D$8,SUM($H$25:H220),IF(A220&gt;$D$8,"",F221+G221))</f>
        <v/>
      </c>
      <c r="I221" s="74" t="str">
        <f t="shared" si="63"/>
        <v/>
      </c>
      <c r="J221" s="74" t="str">
        <f t="shared" si="74"/>
        <v/>
      </c>
      <c r="K221" s="74"/>
      <c r="L221" s="74" t="str">
        <f t="shared" si="64"/>
        <v/>
      </c>
      <c r="M221" s="65" t="str">
        <f t="shared" si="79"/>
        <v/>
      </c>
      <c r="N221" s="65" t="str">
        <f t="shared" ref="N221:N265" si="80">IF(A220=$D$8,$N$24,"")</f>
        <v/>
      </c>
      <c r="P221" s="70" t="str">
        <f>IF(A220=$D$8,XIRR(H$24:H220,C$24:C220),"")</f>
        <v/>
      </c>
      <c r="Q221" s="74" t="str">
        <f t="shared" si="78"/>
        <v/>
      </c>
      <c r="R221" s="65">
        <f t="shared" si="75"/>
        <v>0</v>
      </c>
      <c r="S221" s="67" t="e">
        <f t="shared" ca="1" si="76"/>
        <v>#VALUE!</v>
      </c>
      <c r="T221" s="67" t="e">
        <f t="shared" ca="1" si="77"/>
        <v>#VALUE!</v>
      </c>
      <c r="U221" s="67" t="e">
        <f t="shared" ca="1" si="66"/>
        <v>#VALUE!</v>
      </c>
      <c r="V221" s="72" t="e">
        <f t="shared" ca="1" si="67"/>
        <v>#VALUE!</v>
      </c>
      <c r="W221" s="73" t="e">
        <f t="shared" ca="1" si="71"/>
        <v>#VALUE!</v>
      </c>
    </row>
    <row r="222" spans="1:24" x14ac:dyDescent="0.35">
      <c r="A222" s="68" t="str">
        <f t="shared" si="72"/>
        <v/>
      </c>
      <c r="B222" s="64" t="str">
        <f t="shared" si="62"/>
        <v/>
      </c>
      <c r="C222" s="64" t="str">
        <f t="shared" ca="1" si="73"/>
        <v xml:space="preserve"> </v>
      </c>
      <c r="D222" s="68" t="str">
        <f t="shared" si="60"/>
        <v/>
      </c>
      <c r="E222" s="65" t="str">
        <f t="shared" si="61"/>
        <v/>
      </c>
      <c r="F222" s="65" t="str">
        <f>IF(AND(A221="",A223=""),"",IF(A222="",ROUND(SUM($F$25:F221),2),IF(A222=$D$8,$E$24-ROUND(SUM($F$25:F221),2),ROUND($E$24/$D$8,2))))</f>
        <v/>
      </c>
      <c r="G222" s="65" t="str">
        <f>IF(A221=$D$8,ROUND(SUM($G$25:G221),2),IF(A222&gt;$D$8,"",IF(T222&lt;&gt;T221,ROUND(SUM(V222*$D$9*E221/T222,W222*$D$9*E221/T221),2),ROUND(E221*$D$9*D222/T221,2))))</f>
        <v/>
      </c>
      <c r="H222" s="65" t="str">
        <f>IF(A221=$D$8,SUM($H$25:H221),IF(A221&gt;$D$8,"",F222+G222))</f>
        <v/>
      </c>
      <c r="I222" s="74" t="str">
        <f t="shared" si="63"/>
        <v/>
      </c>
      <c r="J222" s="74" t="str">
        <f t="shared" si="74"/>
        <v/>
      </c>
      <c r="K222" s="74"/>
      <c r="L222" s="74" t="str">
        <f t="shared" si="64"/>
        <v/>
      </c>
      <c r="M222" s="65" t="str">
        <f t="shared" si="79"/>
        <v/>
      </c>
      <c r="N222" s="65" t="str">
        <f t="shared" si="80"/>
        <v/>
      </c>
      <c r="P222" s="70" t="str">
        <f>IF(A221=$D$8,XIRR(H$24:H221,C$24:C221),"")</f>
        <v/>
      </c>
      <c r="Q222" s="74" t="str">
        <f t="shared" si="78"/>
        <v/>
      </c>
      <c r="R222" s="65">
        <f t="shared" si="75"/>
        <v>0</v>
      </c>
      <c r="S222" s="67" t="e">
        <f t="shared" ca="1" si="76"/>
        <v>#VALUE!</v>
      </c>
      <c r="T222" s="67" t="e">
        <f t="shared" ca="1" si="77"/>
        <v>#VALUE!</v>
      </c>
      <c r="U222" s="67" t="e">
        <f t="shared" ca="1" si="66"/>
        <v>#VALUE!</v>
      </c>
      <c r="V222" s="72" t="e">
        <f t="shared" ca="1" si="67"/>
        <v>#VALUE!</v>
      </c>
      <c r="W222" s="73" t="e">
        <f t="shared" ca="1" si="71"/>
        <v>#VALUE!</v>
      </c>
    </row>
    <row r="223" spans="1:24" x14ac:dyDescent="0.35">
      <c r="A223" s="68" t="str">
        <f t="shared" si="72"/>
        <v/>
      </c>
      <c r="B223" s="64" t="str">
        <f t="shared" si="62"/>
        <v/>
      </c>
      <c r="C223" s="64" t="str">
        <f t="shared" ca="1" si="73"/>
        <v xml:space="preserve"> </v>
      </c>
      <c r="D223" s="68" t="str">
        <f t="shared" si="60"/>
        <v/>
      </c>
      <c r="E223" s="65" t="str">
        <f t="shared" si="61"/>
        <v/>
      </c>
      <c r="F223" s="65" t="str">
        <f>IF(AND(A222="",A224=""),"",IF(A223="",ROUND(SUM($F$25:F222),2),IF(A223=$D$8,$E$24-ROUND(SUM($F$25:F222),2),ROUND($E$24/$D$8,2))))</f>
        <v/>
      </c>
      <c r="G223" s="65" t="str">
        <f>IF(A222=$D$8,ROUND(SUM($G$25:G222),2),IF(A223&gt;$D$8,"",IF(T223&lt;&gt;T222,ROUND(SUM(V223*$D$9*E222/T223,W223*$D$9*E222/T222),2),ROUND(E222*$D$9*D223/T222,2))))</f>
        <v/>
      </c>
      <c r="H223" s="65" t="str">
        <f>IF(A222=$D$8,SUM($H$25:H222),IF(A222&gt;$D$8,"",F223+G223))</f>
        <v/>
      </c>
      <c r="I223" s="74" t="str">
        <f t="shared" si="63"/>
        <v/>
      </c>
      <c r="J223" s="74" t="str">
        <f t="shared" si="74"/>
        <v/>
      </c>
      <c r="K223" s="74"/>
      <c r="L223" s="74" t="str">
        <f t="shared" si="64"/>
        <v/>
      </c>
      <c r="M223" s="65" t="str">
        <f t="shared" si="79"/>
        <v/>
      </c>
      <c r="N223" s="65" t="str">
        <f t="shared" si="80"/>
        <v/>
      </c>
      <c r="P223" s="70" t="str">
        <f>IF(A222=$D$8,XIRR(H$24:H222,C$24:C222),"")</f>
        <v/>
      </c>
      <c r="Q223" s="74" t="str">
        <f t="shared" si="78"/>
        <v/>
      </c>
      <c r="R223" s="65">
        <f t="shared" si="75"/>
        <v>0</v>
      </c>
      <c r="S223" s="67" t="e">
        <f t="shared" ca="1" si="76"/>
        <v>#VALUE!</v>
      </c>
      <c r="T223" s="67" t="e">
        <f t="shared" ca="1" si="77"/>
        <v>#VALUE!</v>
      </c>
      <c r="U223" s="67" t="e">
        <f t="shared" ca="1" si="66"/>
        <v>#VALUE!</v>
      </c>
      <c r="V223" s="72" t="e">
        <f t="shared" ca="1" si="67"/>
        <v>#VALUE!</v>
      </c>
      <c r="W223" s="73" t="e">
        <f t="shared" ca="1" si="71"/>
        <v>#VALUE!</v>
      </c>
    </row>
    <row r="224" spans="1:24" x14ac:dyDescent="0.35">
      <c r="A224" s="68" t="str">
        <f t="shared" si="72"/>
        <v/>
      </c>
      <c r="B224" s="64" t="str">
        <f t="shared" si="62"/>
        <v/>
      </c>
      <c r="C224" s="64" t="str">
        <f t="shared" ca="1" si="73"/>
        <v xml:space="preserve"> </v>
      </c>
      <c r="D224" s="68" t="str">
        <f t="shared" si="60"/>
        <v/>
      </c>
      <c r="E224" s="65" t="str">
        <f t="shared" si="61"/>
        <v/>
      </c>
      <c r="F224" s="65" t="str">
        <f>IF(AND(A223="",A225=""),"",IF(A224="",ROUND(SUM($F$25:F223),2),IF(A224=$D$8,$E$24-ROUND(SUM($F$25:F223),2),ROUND($E$24/$D$8,2))))</f>
        <v/>
      </c>
      <c r="G224" s="65" t="str">
        <f>IF(A223=$D$8,ROUND(SUM($G$25:G223),2),IF(A224&gt;$D$8,"",IF(T224&lt;&gt;T223,ROUND(SUM(V224*$D$9*E223/T224,W224*$D$9*E223/T223),2),ROUND(E223*$D$9*D224/T223,2))))</f>
        <v/>
      </c>
      <c r="H224" s="65" t="str">
        <f>IF(A223=$D$8,SUM($H$25:H223),IF(A223&gt;$D$8,"",F224+G224))</f>
        <v/>
      </c>
      <c r="I224" s="74" t="str">
        <f t="shared" si="63"/>
        <v/>
      </c>
      <c r="J224" s="74" t="str">
        <f t="shared" si="74"/>
        <v/>
      </c>
      <c r="K224" s="74"/>
      <c r="L224" s="74" t="str">
        <f t="shared" si="64"/>
        <v/>
      </c>
      <c r="M224" s="65" t="str">
        <f t="shared" si="79"/>
        <v/>
      </c>
      <c r="N224" s="65" t="str">
        <f t="shared" si="80"/>
        <v/>
      </c>
      <c r="P224" s="70" t="str">
        <f>IF(A223=$D$8,XIRR(H$24:H223,C$24:C223),"")</f>
        <v/>
      </c>
      <c r="Q224" s="74" t="str">
        <f t="shared" si="78"/>
        <v/>
      </c>
      <c r="R224" s="65">
        <f t="shared" si="75"/>
        <v>0</v>
      </c>
      <c r="S224" s="67" t="e">
        <f t="shared" ca="1" si="76"/>
        <v>#VALUE!</v>
      </c>
      <c r="T224" s="67" t="e">
        <f t="shared" ca="1" si="77"/>
        <v>#VALUE!</v>
      </c>
      <c r="U224" s="67" t="e">
        <f t="shared" ca="1" si="66"/>
        <v>#VALUE!</v>
      </c>
      <c r="V224" s="72" t="e">
        <f t="shared" ca="1" si="67"/>
        <v>#VALUE!</v>
      </c>
      <c r="W224" s="73" t="e">
        <f t="shared" ca="1" si="71"/>
        <v>#VALUE!</v>
      </c>
    </row>
    <row r="225" spans="1:23" x14ac:dyDescent="0.35">
      <c r="A225" s="68" t="str">
        <f t="shared" si="72"/>
        <v/>
      </c>
      <c r="B225" s="64" t="str">
        <f t="shared" si="62"/>
        <v/>
      </c>
      <c r="C225" s="64" t="str">
        <f t="shared" ca="1" si="73"/>
        <v xml:space="preserve"> </v>
      </c>
      <c r="D225" s="68" t="str">
        <f t="shared" si="60"/>
        <v/>
      </c>
      <c r="E225" s="65" t="str">
        <f t="shared" si="61"/>
        <v/>
      </c>
      <c r="F225" s="65" t="str">
        <f>IF(AND(A224="",A226=""),"",IF(A225="",ROUND(SUM($F$25:F224),2),IF(A225=$D$8,$E$24-ROUND(SUM($F$25:F224),2),ROUND($E$24/$D$8,2))))</f>
        <v/>
      </c>
      <c r="G225" s="65" t="str">
        <f>IF(A224=$D$8,ROUND(SUM($G$25:G224),2),IF(A225&gt;$D$8,"",IF(T225&lt;&gt;T224,ROUND(SUM(V225*$D$9*E224/T225,W225*$D$9*E224/T224),2),ROUND(E224*$D$9*D225/T224,2))))</f>
        <v/>
      </c>
      <c r="H225" s="65" t="str">
        <f>IF(A224=$D$8,SUM($H$25:H224),IF(A224&gt;$D$8,"",F225+G225))</f>
        <v/>
      </c>
      <c r="I225" s="74" t="str">
        <f t="shared" si="63"/>
        <v/>
      </c>
      <c r="J225" s="74" t="str">
        <f t="shared" si="74"/>
        <v/>
      </c>
      <c r="K225" s="74"/>
      <c r="L225" s="74" t="str">
        <f t="shared" si="64"/>
        <v/>
      </c>
      <c r="M225" s="65" t="str">
        <f t="shared" si="79"/>
        <v/>
      </c>
      <c r="N225" s="65" t="str">
        <f t="shared" si="80"/>
        <v/>
      </c>
      <c r="P225" s="70" t="str">
        <f>IF(A224=$D$8,XIRR(H$24:H224,C$24:C224),"")</f>
        <v/>
      </c>
      <c r="Q225" s="74" t="str">
        <f t="shared" si="78"/>
        <v/>
      </c>
      <c r="R225" s="65">
        <f t="shared" si="75"/>
        <v>0</v>
      </c>
      <c r="S225" s="67" t="e">
        <f t="shared" ca="1" si="76"/>
        <v>#VALUE!</v>
      </c>
      <c r="T225" s="67" t="e">
        <f t="shared" ca="1" si="77"/>
        <v>#VALUE!</v>
      </c>
      <c r="U225" s="67" t="e">
        <f t="shared" ca="1" si="66"/>
        <v>#VALUE!</v>
      </c>
      <c r="V225" s="72" t="e">
        <f t="shared" ca="1" si="67"/>
        <v>#VALUE!</v>
      </c>
      <c r="W225" s="73" t="e">
        <f t="shared" ca="1" si="71"/>
        <v>#VALUE!</v>
      </c>
    </row>
    <row r="226" spans="1:23" x14ac:dyDescent="0.35">
      <c r="A226" s="68" t="str">
        <f t="shared" si="72"/>
        <v/>
      </c>
      <c r="B226" s="64" t="str">
        <f t="shared" si="62"/>
        <v/>
      </c>
      <c r="C226" s="64" t="str">
        <f t="shared" ca="1" si="73"/>
        <v xml:space="preserve"> </v>
      </c>
      <c r="D226" s="68" t="str">
        <f t="shared" si="60"/>
        <v/>
      </c>
      <c r="E226" s="65" t="str">
        <f t="shared" si="61"/>
        <v/>
      </c>
      <c r="F226" s="65" t="str">
        <f>IF(AND(A225="",A227=""),"",IF(A226="",ROUND(SUM($F$25:F225),2),IF(A226=$D$8,$E$24-ROUND(SUM($F$25:F225),2),ROUND($E$24/$D$8,2))))</f>
        <v/>
      </c>
      <c r="G226" s="65" t="str">
        <f>IF(A225=$D$8,ROUND(SUM($G$25:G225),2),IF(A226&gt;$D$8,"",IF(T226&lt;&gt;T225,ROUND(SUM(V226*$D$9*E225/T226,W226*$D$9*E225/T225),2),ROUND(E225*$D$9*D226/T225,2))))</f>
        <v/>
      </c>
      <c r="H226" s="65" t="str">
        <f>IF(A225=$D$8,SUM($H$25:H225),IF(A225&gt;$D$8,"",F226+G226))</f>
        <v/>
      </c>
      <c r="I226" s="74" t="str">
        <f t="shared" si="63"/>
        <v/>
      </c>
      <c r="J226" s="74" t="str">
        <f t="shared" si="74"/>
        <v/>
      </c>
      <c r="K226" s="74"/>
      <c r="L226" s="74" t="str">
        <f t="shared" si="64"/>
        <v/>
      </c>
      <c r="M226" s="65" t="str">
        <f t="shared" si="79"/>
        <v/>
      </c>
      <c r="N226" s="65" t="str">
        <f t="shared" si="80"/>
        <v/>
      </c>
      <c r="P226" s="70" t="str">
        <f>IF(A225=$D$8,XIRR(H$24:H225,C$24:C225),"")</f>
        <v/>
      </c>
      <c r="Q226" s="74" t="str">
        <f t="shared" si="78"/>
        <v/>
      </c>
      <c r="R226" s="65">
        <f t="shared" si="75"/>
        <v>0</v>
      </c>
      <c r="S226" s="67" t="e">
        <f t="shared" ca="1" si="76"/>
        <v>#VALUE!</v>
      </c>
      <c r="T226" s="67" t="e">
        <f t="shared" ca="1" si="77"/>
        <v>#VALUE!</v>
      </c>
      <c r="U226" s="67" t="e">
        <f t="shared" ca="1" si="66"/>
        <v>#VALUE!</v>
      </c>
      <c r="V226" s="72" t="e">
        <f t="shared" ca="1" si="67"/>
        <v>#VALUE!</v>
      </c>
      <c r="W226" s="73" t="e">
        <f t="shared" ca="1" si="71"/>
        <v>#VALUE!</v>
      </c>
    </row>
    <row r="227" spans="1:23" x14ac:dyDescent="0.35">
      <c r="A227" s="68" t="str">
        <f t="shared" si="72"/>
        <v/>
      </c>
      <c r="B227" s="64" t="str">
        <f t="shared" si="62"/>
        <v/>
      </c>
      <c r="C227" s="64" t="str">
        <f t="shared" ca="1" si="73"/>
        <v xml:space="preserve"> </v>
      </c>
      <c r="D227" s="68" t="str">
        <f t="shared" si="60"/>
        <v/>
      </c>
      <c r="E227" s="65" t="str">
        <f t="shared" si="61"/>
        <v/>
      </c>
      <c r="F227" s="65" t="str">
        <f>IF(AND(A226="",A228=""),"",IF(A227="",ROUND(SUM($F$25:F226),2),IF(A227=$D$8,$E$24-ROUND(SUM($F$25:F226),2),ROUND($E$24/$D$8,2))))</f>
        <v/>
      </c>
      <c r="G227" s="65" t="str">
        <f>IF(A226=$D$8,ROUND(SUM($G$25:G226),2),IF(A227&gt;$D$8,"",IF(T227&lt;&gt;T226,ROUND(SUM(V227*$D$9*E226/T227,W227*$D$9*E226/T226),2),ROUND(E226*$D$9*D227/T226,2))))</f>
        <v/>
      </c>
      <c r="H227" s="65" t="str">
        <f>IF(A226=$D$8,SUM($H$25:H226),IF(A226&gt;$D$8,"",F227+G227))</f>
        <v/>
      </c>
      <c r="I227" s="74" t="str">
        <f t="shared" si="63"/>
        <v/>
      </c>
      <c r="J227" s="74" t="str">
        <f t="shared" si="74"/>
        <v/>
      </c>
      <c r="K227" s="74"/>
      <c r="L227" s="74" t="str">
        <f t="shared" si="64"/>
        <v/>
      </c>
      <c r="M227" s="65" t="str">
        <f t="shared" si="79"/>
        <v/>
      </c>
      <c r="N227" s="65" t="str">
        <f t="shared" si="80"/>
        <v/>
      </c>
      <c r="P227" s="70" t="str">
        <f>IF(A226=$D$8,XIRR(H$24:H226,C$24:C226),"")</f>
        <v/>
      </c>
      <c r="Q227" s="74" t="str">
        <f t="shared" si="78"/>
        <v/>
      </c>
      <c r="R227" s="65">
        <f t="shared" si="75"/>
        <v>0</v>
      </c>
      <c r="S227" s="67" t="e">
        <f t="shared" ca="1" si="76"/>
        <v>#VALUE!</v>
      </c>
      <c r="T227" s="67" t="e">
        <f t="shared" ca="1" si="77"/>
        <v>#VALUE!</v>
      </c>
      <c r="U227" s="67" t="e">
        <f t="shared" ca="1" si="66"/>
        <v>#VALUE!</v>
      </c>
      <c r="V227" s="72" t="e">
        <f t="shared" ca="1" si="67"/>
        <v>#VALUE!</v>
      </c>
      <c r="W227" s="73" t="e">
        <f t="shared" ca="1" si="71"/>
        <v>#VALUE!</v>
      </c>
    </row>
    <row r="228" spans="1:23" x14ac:dyDescent="0.35">
      <c r="A228" s="68" t="str">
        <f t="shared" si="72"/>
        <v/>
      </c>
      <c r="B228" s="64" t="str">
        <f t="shared" si="62"/>
        <v/>
      </c>
      <c r="C228" s="64" t="str">
        <f t="shared" ca="1" si="73"/>
        <v xml:space="preserve"> </v>
      </c>
      <c r="D228" s="68" t="str">
        <f t="shared" si="60"/>
        <v/>
      </c>
      <c r="E228" s="65" t="str">
        <f t="shared" si="61"/>
        <v/>
      </c>
      <c r="F228" s="65" t="str">
        <f>IF(AND(A227="",A229=""),"",IF(A228="",ROUND(SUM($F$25:F227),2),IF(A228=$D$8,$E$24-ROUND(SUM($F$25:F227),2),ROUND($E$24/$D$8,2))))</f>
        <v/>
      </c>
      <c r="G228" s="65" t="str">
        <f>IF(A227=$D$8,ROUND(SUM($G$25:G227),2),IF(A228&gt;$D$8,"",IF(T228&lt;&gt;T227,ROUND(SUM(V228*$D$9*E227/T228,W228*$D$9*E227/T227),2),ROUND(E227*$D$9*D228/T227,2))))</f>
        <v/>
      </c>
      <c r="H228" s="65" t="str">
        <f>IF(A227=$D$8,SUM($H$25:H227),IF(A227&gt;$D$8,"",F228+G228))</f>
        <v/>
      </c>
      <c r="I228" s="74" t="str">
        <f t="shared" si="63"/>
        <v/>
      </c>
      <c r="J228" s="74" t="str">
        <f t="shared" si="74"/>
        <v/>
      </c>
      <c r="K228" s="74"/>
      <c r="L228" s="74" t="str">
        <f t="shared" si="64"/>
        <v/>
      </c>
      <c r="M228" s="65" t="str">
        <f t="shared" si="79"/>
        <v/>
      </c>
      <c r="N228" s="65" t="str">
        <f t="shared" si="80"/>
        <v/>
      </c>
      <c r="P228" s="70" t="str">
        <f>IF(A227=$D$8,XIRR(H$24:H227,C$24:C227),"")</f>
        <v/>
      </c>
      <c r="Q228" s="74" t="str">
        <f t="shared" si="78"/>
        <v/>
      </c>
      <c r="R228" s="65">
        <f t="shared" si="75"/>
        <v>0</v>
      </c>
      <c r="S228" s="67" t="e">
        <f t="shared" ca="1" si="76"/>
        <v>#VALUE!</v>
      </c>
      <c r="T228" s="67" t="e">
        <f t="shared" ca="1" si="77"/>
        <v>#VALUE!</v>
      </c>
      <c r="U228" s="67" t="e">
        <f t="shared" ca="1" si="66"/>
        <v>#VALUE!</v>
      </c>
      <c r="V228" s="72" t="e">
        <f t="shared" ca="1" si="67"/>
        <v>#VALUE!</v>
      </c>
      <c r="W228" s="73" t="e">
        <f t="shared" ca="1" si="71"/>
        <v>#VALUE!</v>
      </c>
    </row>
    <row r="229" spans="1:23" x14ac:dyDescent="0.35">
      <c r="A229" s="68" t="str">
        <f t="shared" si="72"/>
        <v/>
      </c>
      <c r="B229" s="64" t="str">
        <f t="shared" si="62"/>
        <v/>
      </c>
      <c r="C229" s="64" t="str">
        <f t="shared" ca="1" si="73"/>
        <v xml:space="preserve"> </v>
      </c>
      <c r="D229" s="68" t="str">
        <f t="shared" ref="D229:D264" si="81">IF(A229&gt;$D$8,"",C229-C228)</f>
        <v/>
      </c>
      <c r="E229" s="65" t="str">
        <f t="shared" ref="E229:E265" si="82">IF(A229&gt;$D$8,"",E228-F229)</f>
        <v/>
      </c>
      <c r="F229" s="65" t="str">
        <f>IF(AND(A228="",A230=""),"",IF(A229="",ROUND(SUM($F$25:F228),2),IF(A229=$D$8,$E$24-ROUND(SUM($F$25:F228),2),ROUND($E$24/$D$8,2))))</f>
        <v/>
      </c>
      <c r="G229" s="65" t="str">
        <f>IF(A228=$D$8,ROUND(SUM($G$25:G228),2),IF(A229&gt;$D$8,"",IF(T229&lt;&gt;T228,ROUND(SUM(V229*$D$9*E228/T229,W229*$D$9*E228/T228),2),ROUND(E228*$D$9*D229/T228,2))))</f>
        <v/>
      </c>
      <c r="H229" s="65" t="str">
        <f>IF(A228=$D$8,SUM($H$25:H228),IF(A228&gt;$D$8,"",F229+G229))</f>
        <v/>
      </c>
      <c r="I229" s="74" t="str">
        <f t="shared" si="63"/>
        <v/>
      </c>
      <c r="J229" s="74" t="str">
        <f>IF($D$8&gt;A228,$N$9,IF($D$8=A228,SUM($J$24:J228)," "))</f>
        <v xml:space="preserve"> </v>
      </c>
      <c r="K229" s="74" t="str">
        <f>IF($D$8&gt;A228,($O$8+$N$10*E228),IF(A228=$D$8,$K$37+$K$24+$K$49+$K$61+$K$73+$K$85+$K$97+$K$109+$K$121+$K$133+$K$145+$K$157+$K$169+$K$181+$K$193+$K$205+$K$217,""))</f>
        <v/>
      </c>
      <c r="L229" s="74" t="str">
        <f t="shared" si="64"/>
        <v/>
      </c>
      <c r="M229" s="65" t="str">
        <f t="shared" si="79"/>
        <v/>
      </c>
      <c r="N229" s="65" t="str">
        <f t="shared" si="80"/>
        <v/>
      </c>
      <c r="P229" s="70" t="str">
        <f>IF(A228=$D$8,XIRR(H$24:H228,C$24:C228),"")</f>
        <v/>
      </c>
      <c r="Q229" s="74" t="str">
        <f t="shared" si="78"/>
        <v/>
      </c>
      <c r="R229" s="65">
        <f t="shared" si="75"/>
        <v>0</v>
      </c>
      <c r="S229" s="67" t="e">
        <f t="shared" ca="1" si="76"/>
        <v>#VALUE!</v>
      </c>
      <c r="T229" s="67" t="e">
        <f t="shared" ca="1" si="77"/>
        <v>#VALUE!</v>
      </c>
      <c r="U229" s="67" t="e">
        <f t="shared" ca="1" si="66"/>
        <v>#VALUE!</v>
      </c>
      <c r="V229" s="72" t="e">
        <f t="shared" ca="1" si="67"/>
        <v>#VALUE!</v>
      </c>
      <c r="W229" s="73" t="e">
        <f t="shared" ca="1" si="71"/>
        <v>#VALUE!</v>
      </c>
    </row>
    <row r="230" spans="1:23" x14ac:dyDescent="0.35">
      <c r="A230" s="68" t="str">
        <f t="shared" si="72"/>
        <v/>
      </c>
      <c r="B230" s="64" t="str">
        <f t="shared" ref="B230:B264" si="83">IF(A230="","",EDATE($B$24,A230))</f>
        <v/>
      </c>
      <c r="C230" s="64" t="str">
        <f t="shared" ca="1" si="73"/>
        <v xml:space="preserve"> </v>
      </c>
      <c r="D230" s="68" t="str">
        <f t="shared" si="81"/>
        <v/>
      </c>
      <c r="E230" s="65" t="str">
        <f t="shared" si="82"/>
        <v/>
      </c>
      <c r="F230" s="65" t="str">
        <f>IF(AND(A229="",A231=""),"",IF(A230="",ROUND(SUM($F$25:F229),2),IF(A230=$D$8,$E$24-ROUND(SUM($F$25:F229),2),ROUND($E$24/$D$8,2))))</f>
        <v/>
      </c>
      <c r="G230" s="65" t="str">
        <f>IF(A229=$D$8,ROUND(SUM($G$25:G229),2),IF(A230&gt;$D$8,"",IF(T230&lt;&gt;T229,ROUND(SUM(V230*$D$9*E229/T230,W230*$D$9*E229/T229),2),ROUND(E229*$D$9*D230/T229,2))))</f>
        <v/>
      </c>
      <c r="H230" s="65" t="str">
        <f>IF(A229=$D$8,SUM($H$25:H229),IF(A229&gt;$D$8,"",F230+G230))</f>
        <v/>
      </c>
      <c r="I230" s="74" t="str">
        <f t="shared" ref="I230:I265" si="84">IF(A229=$D$8,$I$24,"")</f>
        <v/>
      </c>
      <c r="J230" s="74" t="str">
        <f t="shared" ref="J230:J240" si="85">IF(A229=$D$8,$J$24,"")</f>
        <v/>
      </c>
      <c r="K230" s="74"/>
      <c r="L230" s="74" t="str">
        <f t="shared" ref="L230:L265" si="86">IF(A229=$D$8,$L$24,"")</f>
        <v/>
      </c>
      <c r="M230" s="65" t="str">
        <f t="shared" si="79"/>
        <v/>
      </c>
      <c r="N230" s="65" t="str">
        <f t="shared" si="80"/>
        <v/>
      </c>
      <c r="P230" s="70" t="str">
        <f>IF(A229=$D$8,XIRR(H$24:H229,C$24:C229),"")</f>
        <v/>
      </c>
      <c r="Q230" s="74" t="str">
        <f t="shared" si="78"/>
        <v/>
      </c>
      <c r="R230" s="65">
        <f t="shared" si="75"/>
        <v>0</v>
      </c>
      <c r="S230" s="67" t="e">
        <f t="shared" ca="1" si="76"/>
        <v>#VALUE!</v>
      </c>
      <c r="T230" s="67" t="e">
        <f t="shared" ca="1" si="77"/>
        <v>#VALUE!</v>
      </c>
      <c r="U230" s="67" t="e">
        <f t="shared" ca="1" si="66"/>
        <v>#VALUE!</v>
      </c>
      <c r="V230" s="72" t="e">
        <f t="shared" ca="1" si="67"/>
        <v>#VALUE!</v>
      </c>
      <c r="W230" s="73" t="e">
        <f t="shared" ca="1" si="71"/>
        <v>#VALUE!</v>
      </c>
    </row>
    <row r="231" spans="1:23" x14ac:dyDescent="0.35">
      <c r="A231" s="68" t="str">
        <f t="shared" si="72"/>
        <v/>
      </c>
      <c r="B231" s="64" t="str">
        <f t="shared" si="83"/>
        <v/>
      </c>
      <c r="C231" s="64" t="str">
        <f t="shared" ca="1" si="73"/>
        <v xml:space="preserve"> </v>
      </c>
      <c r="D231" s="68" t="str">
        <f t="shared" si="81"/>
        <v/>
      </c>
      <c r="E231" s="65" t="str">
        <f t="shared" si="82"/>
        <v/>
      </c>
      <c r="F231" s="65" t="str">
        <f>IF(AND(A230="",A232=""),"",IF(A231="",ROUND(SUM($F$25:F230),2),IF(A231=$D$8,$E$24-ROUND(SUM($F$25:F230),2),ROUND($E$24/$D$8,2))))</f>
        <v/>
      </c>
      <c r="G231" s="65" t="str">
        <f>IF(A230=$D$8,ROUND(SUM($G$25:G230),2),IF(A231&gt;$D$8,"",IF(T231&lt;&gt;T230,ROUND(SUM(V231*$D$9*E230/T231,W231*$D$9*E230/T230),2),ROUND(E230*$D$9*D231/T230,2))))</f>
        <v/>
      </c>
      <c r="H231" s="65" t="str">
        <f>IF(A230=$D$8,SUM($H$25:H230),IF(A230&gt;$D$8,"",F231+G231))</f>
        <v/>
      </c>
      <c r="I231" s="74" t="str">
        <f t="shared" si="84"/>
        <v/>
      </c>
      <c r="J231" s="74" t="str">
        <f t="shared" si="85"/>
        <v/>
      </c>
      <c r="K231" s="74"/>
      <c r="L231" s="74" t="str">
        <f t="shared" si="86"/>
        <v/>
      </c>
      <c r="M231" s="65" t="str">
        <f t="shared" si="79"/>
        <v/>
      </c>
      <c r="N231" s="65" t="str">
        <f t="shared" si="80"/>
        <v/>
      </c>
      <c r="P231" s="70" t="str">
        <f>IF(A230=$D$8,XIRR(H$24:H230,C$24:C230),"")</f>
        <v/>
      </c>
      <c r="Q231" s="74" t="str">
        <f t="shared" si="78"/>
        <v/>
      </c>
      <c r="R231" s="65">
        <f t="shared" si="75"/>
        <v>0</v>
      </c>
      <c r="S231" s="67" t="e">
        <f t="shared" ca="1" si="76"/>
        <v>#VALUE!</v>
      </c>
      <c r="T231" s="67" t="e">
        <f t="shared" ca="1" si="77"/>
        <v>#VALUE!</v>
      </c>
      <c r="U231" s="67" t="e">
        <f t="shared" ca="1" si="66"/>
        <v>#VALUE!</v>
      </c>
      <c r="V231" s="72" t="e">
        <f t="shared" ca="1" si="67"/>
        <v>#VALUE!</v>
      </c>
      <c r="W231" s="73" t="e">
        <f t="shared" ca="1" si="71"/>
        <v>#VALUE!</v>
      </c>
    </row>
    <row r="232" spans="1:23" x14ac:dyDescent="0.35">
      <c r="A232" s="68" t="str">
        <f t="shared" si="72"/>
        <v/>
      </c>
      <c r="B232" s="64" t="str">
        <f t="shared" si="83"/>
        <v/>
      </c>
      <c r="C232" s="64" t="str">
        <f t="shared" ca="1" si="73"/>
        <v xml:space="preserve"> </v>
      </c>
      <c r="D232" s="68" t="str">
        <f t="shared" si="81"/>
        <v/>
      </c>
      <c r="E232" s="65" t="str">
        <f t="shared" si="82"/>
        <v/>
      </c>
      <c r="F232" s="65" t="str">
        <f>IF(AND(A231="",A233=""),"",IF(A232="",ROUND(SUM($F$25:F231),2),IF(A232=$D$8,$E$24-ROUND(SUM($F$25:F231),2),ROUND($E$24/$D$8,2))))</f>
        <v/>
      </c>
      <c r="G232" s="65" t="str">
        <f>IF(A231=$D$8,ROUND(SUM($G$25:G231),2),IF(A232&gt;$D$8,"",IF(T232&lt;&gt;T231,ROUND(SUM(V232*$D$9*E231/T232,W232*$D$9*E231/T231),2),ROUND(E231*$D$9*D232/T231,2))))</f>
        <v/>
      </c>
      <c r="H232" s="65" t="str">
        <f>IF(A231=$D$8,SUM($H$25:H231),IF(A231&gt;$D$8,"",F232+G232))</f>
        <v/>
      </c>
      <c r="I232" s="74" t="str">
        <f t="shared" si="84"/>
        <v/>
      </c>
      <c r="J232" s="74" t="str">
        <f t="shared" si="85"/>
        <v/>
      </c>
      <c r="K232" s="74"/>
      <c r="L232" s="74" t="str">
        <f t="shared" si="86"/>
        <v/>
      </c>
      <c r="M232" s="65" t="str">
        <f t="shared" si="79"/>
        <v/>
      </c>
      <c r="N232" s="65" t="str">
        <f t="shared" si="80"/>
        <v/>
      </c>
      <c r="P232" s="70" t="str">
        <f>IF(A231=$D$8,XIRR(H$24:H231,C$24:C231),"")</f>
        <v/>
      </c>
      <c r="Q232" s="74" t="str">
        <f t="shared" si="78"/>
        <v/>
      </c>
      <c r="R232" s="65">
        <f t="shared" si="75"/>
        <v>0</v>
      </c>
      <c r="S232" s="67" t="e">
        <f t="shared" ca="1" si="76"/>
        <v>#VALUE!</v>
      </c>
      <c r="T232" s="67" t="e">
        <f t="shared" ca="1" si="77"/>
        <v>#VALUE!</v>
      </c>
      <c r="U232" s="67" t="e">
        <f t="shared" ca="1" si="66"/>
        <v>#VALUE!</v>
      </c>
      <c r="V232" s="72" t="e">
        <f t="shared" ca="1" si="67"/>
        <v>#VALUE!</v>
      </c>
      <c r="W232" s="73" t="e">
        <f t="shared" ca="1" si="71"/>
        <v>#VALUE!</v>
      </c>
    </row>
    <row r="233" spans="1:23" x14ac:dyDescent="0.35">
      <c r="A233" s="68" t="str">
        <f t="shared" si="72"/>
        <v/>
      </c>
      <c r="B233" s="64" t="str">
        <f t="shared" si="83"/>
        <v/>
      </c>
      <c r="C233" s="64" t="str">
        <f t="shared" ca="1" si="73"/>
        <v xml:space="preserve"> </v>
      </c>
      <c r="D233" s="68" t="str">
        <f t="shared" si="81"/>
        <v/>
      </c>
      <c r="E233" s="65" t="str">
        <f t="shared" si="82"/>
        <v/>
      </c>
      <c r="F233" s="65" t="str">
        <f>IF(AND(A232="",A234=""),"",IF(A233="",ROUND(SUM($F$25:F232),2),IF(A233=$D$8,$E$24-ROUND(SUM($F$25:F232),2),ROUND($E$24/$D$8,2))))</f>
        <v/>
      </c>
      <c r="G233" s="65" t="str">
        <f>IF(A232=$D$8,ROUND(SUM($G$25:G232),2),IF(A233&gt;$D$8,"",IF(T233&lt;&gt;T232,ROUND(SUM(V233*$D$9*E232/T233,W233*$D$9*E232/T232),2),ROUND(E232*$D$9*D233/T232,2))))</f>
        <v/>
      </c>
      <c r="H233" s="65" t="str">
        <f>IF(A232=$D$8,SUM($H$25:H232),IF(A232&gt;$D$8,"",F233+G233))</f>
        <v/>
      </c>
      <c r="I233" s="74" t="str">
        <f t="shared" si="84"/>
        <v/>
      </c>
      <c r="J233" s="74" t="str">
        <f t="shared" si="85"/>
        <v/>
      </c>
      <c r="K233" s="74"/>
      <c r="L233" s="74" t="str">
        <f t="shared" si="86"/>
        <v/>
      </c>
      <c r="M233" s="65" t="str">
        <f t="shared" si="79"/>
        <v/>
      </c>
      <c r="N233" s="65" t="str">
        <f t="shared" si="80"/>
        <v/>
      </c>
      <c r="P233" s="70" t="str">
        <f>IF(A232=$D$8,XIRR(H$24:H232,C$24:C232),"")</f>
        <v/>
      </c>
      <c r="Q233" s="74" t="str">
        <f t="shared" si="78"/>
        <v/>
      </c>
      <c r="R233" s="65">
        <f t="shared" si="75"/>
        <v>0</v>
      </c>
      <c r="S233" s="67" t="e">
        <f t="shared" ca="1" si="76"/>
        <v>#VALUE!</v>
      </c>
      <c r="T233" s="67" t="e">
        <f t="shared" ca="1" si="77"/>
        <v>#VALUE!</v>
      </c>
      <c r="U233" s="67" t="e">
        <f t="shared" ca="1" si="66"/>
        <v>#VALUE!</v>
      </c>
      <c r="V233" s="72" t="e">
        <f t="shared" ca="1" si="67"/>
        <v>#VALUE!</v>
      </c>
      <c r="W233" s="73" t="e">
        <f t="shared" ca="1" si="71"/>
        <v>#VALUE!</v>
      </c>
    </row>
    <row r="234" spans="1:23" x14ac:dyDescent="0.35">
      <c r="A234" s="68" t="str">
        <f t="shared" si="72"/>
        <v/>
      </c>
      <c r="B234" s="64" t="str">
        <f t="shared" si="83"/>
        <v/>
      </c>
      <c r="C234" s="64" t="str">
        <f t="shared" ca="1" si="73"/>
        <v xml:space="preserve"> </v>
      </c>
      <c r="D234" s="68" t="str">
        <f t="shared" si="81"/>
        <v/>
      </c>
      <c r="E234" s="65" t="str">
        <f t="shared" si="82"/>
        <v/>
      </c>
      <c r="F234" s="65" t="str">
        <f>IF(AND(A233="",A235=""),"",IF(A234="",ROUND(SUM($F$25:F233),2),IF(A234=$D$8,$E$24-ROUND(SUM($F$25:F233),2),ROUND($E$24/$D$8,2))))</f>
        <v/>
      </c>
      <c r="G234" s="65" t="str">
        <f>IF(A233=$D$8,ROUND(SUM($G$25:G233),2),IF(A234&gt;$D$8,"",IF(T234&lt;&gt;T233,ROUND(SUM(V234*$D$9*E233/T234,W234*$D$9*E233/T233),2),ROUND(E233*$D$9*D234/T233,2))))</f>
        <v/>
      </c>
      <c r="H234" s="65" t="str">
        <f>IF(A233=$D$8,SUM($H$25:H233),IF(A233&gt;$D$8,"",F234+G234))</f>
        <v/>
      </c>
      <c r="I234" s="74" t="str">
        <f t="shared" si="84"/>
        <v/>
      </c>
      <c r="J234" s="74" t="str">
        <f t="shared" si="85"/>
        <v/>
      </c>
      <c r="K234" s="74"/>
      <c r="L234" s="74" t="str">
        <f t="shared" si="86"/>
        <v/>
      </c>
      <c r="M234" s="65" t="str">
        <f t="shared" si="79"/>
        <v/>
      </c>
      <c r="N234" s="65" t="str">
        <f t="shared" si="80"/>
        <v/>
      </c>
      <c r="P234" s="70" t="str">
        <f>IF(A233=$D$8,XIRR(H$24:H233,C$24:C233),"")</f>
        <v/>
      </c>
      <c r="Q234" s="74" t="str">
        <f t="shared" si="78"/>
        <v/>
      </c>
      <c r="R234" s="65">
        <f t="shared" si="75"/>
        <v>0</v>
      </c>
      <c r="S234" s="67" t="e">
        <f t="shared" ca="1" si="76"/>
        <v>#VALUE!</v>
      </c>
      <c r="T234" s="67" t="e">
        <f t="shared" ca="1" si="77"/>
        <v>#VALUE!</v>
      </c>
      <c r="U234" s="67" t="e">
        <f t="shared" ca="1" si="66"/>
        <v>#VALUE!</v>
      </c>
      <c r="V234" s="72" t="e">
        <f t="shared" ca="1" si="67"/>
        <v>#VALUE!</v>
      </c>
      <c r="W234" s="73" t="e">
        <f t="shared" ca="1" si="71"/>
        <v>#VALUE!</v>
      </c>
    </row>
    <row r="235" spans="1:23" x14ac:dyDescent="0.35">
      <c r="A235" s="68" t="str">
        <f t="shared" si="72"/>
        <v/>
      </c>
      <c r="B235" s="64" t="str">
        <f t="shared" si="83"/>
        <v/>
      </c>
      <c r="C235" s="64" t="str">
        <f t="shared" ca="1" si="73"/>
        <v xml:space="preserve"> </v>
      </c>
      <c r="D235" s="68" t="str">
        <f t="shared" si="81"/>
        <v/>
      </c>
      <c r="E235" s="65" t="str">
        <f t="shared" si="82"/>
        <v/>
      </c>
      <c r="F235" s="65" t="str">
        <f>IF(AND(A234="",A236=""),"",IF(A235="",ROUND(SUM($F$25:F234),2),IF(A235=$D$8,$E$24-ROUND(SUM($F$25:F234),2),ROUND($E$24/$D$8,2))))</f>
        <v/>
      </c>
      <c r="G235" s="65" t="str">
        <f>IF(A234=$D$8,ROUND(SUM($G$25:G234),2),IF(A235&gt;$D$8,"",IF(T235&lt;&gt;T234,ROUND(SUM(V235*$D$9*E234/T235,W235*$D$9*E234/T234),2),ROUND(E234*$D$9*D235/T234,2))))</f>
        <v/>
      </c>
      <c r="H235" s="65" t="str">
        <f>IF(A234=$D$8,SUM($H$25:H234),IF(A234&gt;$D$8,"",F235+G235))</f>
        <v/>
      </c>
      <c r="I235" s="74" t="str">
        <f t="shared" si="84"/>
        <v/>
      </c>
      <c r="J235" s="74" t="str">
        <f t="shared" si="85"/>
        <v/>
      </c>
      <c r="K235" s="74"/>
      <c r="L235" s="74" t="str">
        <f t="shared" si="86"/>
        <v/>
      </c>
      <c r="M235" s="65" t="str">
        <f t="shared" si="79"/>
        <v/>
      </c>
      <c r="N235" s="65" t="str">
        <f t="shared" si="80"/>
        <v/>
      </c>
      <c r="P235" s="70" t="str">
        <f>IF(A234=$D$8,XIRR(H$24:H234,C$24:C234),"")</f>
        <v/>
      </c>
      <c r="Q235" s="74" t="str">
        <f t="shared" si="78"/>
        <v/>
      </c>
      <c r="R235" s="65">
        <f t="shared" si="75"/>
        <v>0</v>
      </c>
      <c r="S235" s="67" t="e">
        <f t="shared" ca="1" si="76"/>
        <v>#VALUE!</v>
      </c>
      <c r="T235" s="67" t="e">
        <f t="shared" ca="1" si="77"/>
        <v>#VALUE!</v>
      </c>
      <c r="U235" s="67" t="e">
        <f t="shared" ca="1" si="66"/>
        <v>#VALUE!</v>
      </c>
      <c r="V235" s="72" t="e">
        <f t="shared" ca="1" si="67"/>
        <v>#VALUE!</v>
      </c>
      <c r="W235" s="73" t="e">
        <f t="shared" ca="1" si="71"/>
        <v>#VALUE!</v>
      </c>
    </row>
    <row r="236" spans="1:23" x14ac:dyDescent="0.35">
      <c r="A236" s="68" t="str">
        <f t="shared" si="72"/>
        <v/>
      </c>
      <c r="B236" s="64" t="str">
        <f t="shared" si="83"/>
        <v/>
      </c>
      <c r="C236" s="64" t="str">
        <f t="shared" ca="1" si="73"/>
        <v xml:space="preserve"> </v>
      </c>
      <c r="D236" s="68" t="str">
        <f t="shared" si="81"/>
        <v/>
      </c>
      <c r="E236" s="65" t="str">
        <f t="shared" si="82"/>
        <v/>
      </c>
      <c r="F236" s="65" t="str">
        <f>IF(AND(A235="",A237=""),"",IF(A236="",ROUND(SUM($F$25:F235),2),IF(A236=$D$8,$E$24-ROUND(SUM($F$25:F235),2),ROUND($E$24/$D$8,2))))</f>
        <v/>
      </c>
      <c r="G236" s="65" t="str">
        <f>IF(A235=$D$8,ROUND(SUM($G$25:G235),2),IF(A236&gt;$D$8,"",IF(T236&lt;&gt;T235,ROUND(SUM(V236*$D$9*E235/T236,W236*$D$9*E235/T235),2),ROUND(E235*$D$9*D236/T235,2))))</f>
        <v/>
      </c>
      <c r="H236" s="65" t="str">
        <f>IF(A235=$D$8,SUM($H$25:H235),IF(A235&gt;$D$8,"",F236+G236))</f>
        <v/>
      </c>
      <c r="I236" s="74" t="str">
        <f t="shared" si="84"/>
        <v/>
      </c>
      <c r="J236" s="74" t="str">
        <f t="shared" si="85"/>
        <v/>
      </c>
      <c r="K236" s="74"/>
      <c r="L236" s="74" t="str">
        <f t="shared" si="86"/>
        <v/>
      </c>
      <c r="M236" s="65" t="str">
        <f t="shared" si="79"/>
        <v/>
      </c>
      <c r="N236" s="65" t="str">
        <f t="shared" si="80"/>
        <v/>
      </c>
      <c r="P236" s="70" t="str">
        <f>IF(A235=$D$8,XIRR(H$24:H235,C$24:C235),"")</f>
        <v/>
      </c>
      <c r="Q236" s="74" t="str">
        <f t="shared" si="78"/>
        <v/>
      </c>
      <c r="R236" s="65">
        <f t="shared" si="75"/>
        <v>0</v>
      </c>
      <c r="S236" s="67" t="e">
        <f t="shared" ca="1" si="76"/>
        <v>#VALUE!</v>
      </c>
      <c r="T236" s="67" t="e">
        <f t="shared" ca="1" si="77"/>
        <v>#VALUE!</v>
      </c>
      <c r="U236" s="67" t="e">
        <f t="shared" ca="1" si="66"/>
        <v>#VALUE!</v>
      </c>
      <c r="V236" s="72" t="e">
        <f t="shared" ca="1" si="67"/>
        <v>#VALUE!</v>
      </c>
      <c r="W236" s="73" t="e">
        <f t="shared" ca="1" si="71"/>
        <v>#VALUE!</v>
      </c>
    </row>
    <row r="237" spans="1:23" x14ac:dyDescent="0.35">
      <c r="A237" s="68" t="str">
        <f t="shared" si="72"/>
        <v/>
      </c>
      <c r="B237" s="64" t="str">
        <f t="shared" si="83"/>
        <v/>
      </c>
      <c r="C237" s="64" t="str">
        <f t="shared" ca="1" si="73"/>
        <v xml:space="preserve"> </v>
      </c>
      <c r="D237" s="68" t="str">
        <f t="shared" si="81"/>
        <v/>
      </c>
      <c r="E237" s="65" t="str">
        <f t="shared" si="82"/>
        <v/>
      </c>
      <c r="F237" s="65" t="str">
        <f>IF(AND(A236="",A238=""),"",IF(A237="",ROUND(SUM($F$25:F236),2),IF(A237=$D$8,$E$24-ROUND(SUM($F$25:F236),2),ROUND($E$24/$D$8,2))))</f>
        <v/>
      </c>
      <c r="G237" s="65" t="str">
        <f>IF(A236=$D$8,ROUND(SUM($G$25:G236),2),IF(A237&gt;$D$8,"",IF(T237&lt;&gt;T236,ROUND(SUM(V237*$D$9*E236/T237,W237*$D$9*E236/T236),2),ROUND(E236*$D$9*D237/T236,2))))</f>
        <v/>
      </c>
      <c r="H237" s="65" t="str">
        <f>IF(A236=$D$8,SUM($H$25:H236),IF(A236&gt;$D$8,"",F237+G237))</f>
        <v/>
      </c>
      <c r="I237" s="74" t="str">
        <f t="shared" si="84"/>
        <v/>
      </c>
      <c r="J237" s="74" t="str">
        <f t="shared" si="85"/>
        <v/>
      </c>
      <c r="K237" s="74"/>
      <c r="L237" s="74" t="str">
        <f t="shared" si="86"/>
        <v/>
      </c>
      <c r="M237" s="65" t="str">
        <f t="shared" si="79"/>
        <v/>
      </c>
      <c r="N237" s="65" t="str">
        <f t="shared" si="80"/>
        <v/>
      </c>
      <c r="P237" s="70" t="str">
        <f>IF(A236=$D$8,XIRR(H$24:H236,C$24:C236),"")</f>
        <v/>
      </c>
      <c r="Q237" s="74" t="str">
        <f t="shared" si="78"/>
        <v/>
      </c>
      <c r="R237" s="65">
        <f t="shared" si="75"/>
        <v>0</v>
      </c>
      <c r="S237" s="67" t="e">
        <f t="shared" ca="1" si="76"/>
        <v>#VALUE!</v>
      </c>
      <c r="T237" s="67" t="e">
        <f t="shared" ca="1" si="77"/>
        <v>#VALUE!</v>
      </c>
      <c r="U237" s="67" t="e">
        <f t="shared" ref="U237:U264" ca="1" si="87">IF(C237="","",DAY(C237))</f>
        <v>#VALUE!</v>
      </c>
      <c r="V237" s="72" t="e">
        <f t="shared" ref="V237:V264" ca="1" si="88">U237-1</f>
        <v>#VALUE!</v>
      </c>
      <c r="W237" s="73" t="e">
        <f t="shared" ca="1" si="71"/>
        <v>#VALUE!</v>
      </c>
    </row>
    <row r="238" spans="1:23" x14ac:dyDescent="0.35">
      <c r="A238" s="68" t="str">
        <f t="shared" si="72"/>
        <v/>
      </c>
      <c r="B238" s="64" t="str">
        <f t="shared" si="83"/>
        <v/>
      </c>
      <c r="C238" s="64" t="str">
        <f t="shared" ca="1" si="73"/>
        <v xml:space="preserve"> </v>
      </c>
      <c r="D238" s="68" t="str">
        <f t="shared" si="81"/>
        <v/>
      </c>
      <c r="E238" s="65" t="str">
        <f t="shared" si="82"/>
        <v/>
      </c>
      <c r="F238" s="65" t="str">
        <f>IF(AND(A237="",A239=""),"",IF(A238="",ROUND(SUM($F$25:F237),2),IF(A238=$D$8,$E$24-ROUND(SUM($F$25:F237),2),ROUND($E$24/$D$8,2))))</f>
        <v/>
      </c>
      <c r="G238" s="65" t="str">
        <f>IF(A237=$D$8,ROUND(SUM($G$25:G237),2),IF(A238&gt;$D$8,"",IF(T238&lt;&gt;T237,ROUND(SUM(V238*$D$9*E237/T238,W238*$D$9*E237/T237),2),ROUND(E237*$D$9*D238/T237,2))))</f>
        <v/>
      </c>
      <c r="H238" s="65" t="str">
        <f>IF(A237=$D$8,SUM($H$25:H237),IF(A237&gt;$D$8,"",F238+G238))</f>
        <v/>
      </c>
      <c r="I238" s="74" t="str">
        <f t="shared" si="84"/>
        <v/>
      </c>
      <c r="J238" s="74" t="str">
        <f t="shared" si="85"/>
        <v/>
      </c>
      <c r="K238" s="74"/>
      <c r="L238" s="74" t="str">
        <f t="shared" si="86"/>
        <v/>
      </c>
      <c r="M238" s="65" t="str">
        <f t="shared" si="79"/>
        <v/>
      </c>
      <c r="N238" s="65" t="str">
        <f t="shared" si="80"/>
        <v/>
      </c>
      <c r="P238" s="70" t="str">
        <f>IF(A237=$D$8,XIRR(H$24:H237,C$24:C237),"")</f>
        <v/>
      </c>
      <c r="Q238" s="74" t="str">
        <f t="shared" si="78"/>
        <v/>
      </c>
      <c r="R238" s="65">
        <f t="shared" si="75"/>
        <v>0</v>
      </c>
      <c r="S238" s="67" t="e">
        <f t="shared" ca="1" si="76"/>
        <v>#VALUE!</v>
      </c>
      <c r="T238" s="67" t="e">
        <f t="shared" ca="1" si="77"/>
        <v>#VALUE!</v>
      </c>
      <c r="U238" s="67" t="e">
        <f t="shared" ca="1" si="87"/>
        <v>#VALUE!</v>
      </c>
      <c r="V238" s="72" t="e">
        <f t="shared" ca="1" si="88"/>
        <v>#VALUE!</v>
      </c>
      <c r="W238" s="73" t="e">
        <f t="shared" ca="1" si="71"/>
        <v>#VALUE!</v>
      </c>
    </row>
    <row r="239" spans="1:23" x14ac:dyDescent="0.35">
      <c r="A239" s="68" t="str">
        <f t="shared" si="72"/>
        <v/>
      </c>
      <c r="B239" s="64" t="str">
        <f t="shared" si="83"/>
        <v/>
      </c>
      <c r="C239" s="64" t="str">
        <f t="shared" ca="1" si="73"/>
        <v xml:space="preserve"> </v>
      </c>
      <c r="D239" s="68" t="str">
        <f t="shared" si="81"/>
        <v/>
      </c>
      <c r="E239" s="65" t="str">
        <f t="shared" si="82"/>
        <v/>
      </c>
      <c r="F239" s="65" t="str">
        <f>IF(AND(A238="",A240=""),"",IF(A239="",ROUND(SUM($F$25:F238),2),IF(A239=$D$8,$E$24-ROUND(SUM($F$25:F238),2),ROUND($E$24/$D$8,2))))</f>
        <v/>
      </c>
      <c r="G239" s="65" t="str">
        <f>IF(A238=$D$8,ROUND(SUM($G$25:G238),2),IF(A239&gt;$D$8,"",IF(T239&lt;&gt;T238,ROUND(SUM(V239*$D$9*E238/T239,W239*$D$9*E238/T238),2),ROUND(E238*$D$9*D239/T238,2))))</f>
        <v/>
      </c>
      <c r="H239" s="65" t="str">
        <f>IF(A238=$D$8,SUM($H$25:H238),IF(A238&gt;$D$8,"",F239+G239))</f>
        <v/>
      </c>
      <c r="I239" s="74" t="str">
        <f t="shared" si="84"/>
        <v/>
      </c>
      <c r="J239" s="74" t="str">
        <f t="shared" si="85"/>
        <v/>
      </c>
      <c r="K239" s="74"/>
      <c r="L239" s="74" t="str">
        <f t="shared" si="86"/>
        <v/>
      </c>
      <c r="M239" s="65" t="str">
        <f t="shared" si="79"/>
        <v/>
      </c>
      <c r="N239" s="65" t="str">
        <f t="shared" si="80"/>
        <v/>
      </c>
      <c r="P239" s="70" t="str">
        <f>IF(A238=$D$8,XIRR(H$24:H238,C$24:C238),"")</f>
        <v/>
      </c>
      <c r="Q239" s="74" t="str">
        <f t="shared" si="78"/>
        <v/>
      </c>
      <c r="R239" s="65">
        <f t="shared" si="75"/>
        <v>0</v>
      </c>
      <c r="S239" s="67" t="e">
        <f t="shared" ca="1" si="76"/>
        <v>#VALUE!</v>
      </c>
      <c r="T239" s="67" t="e">
        <f t="shared" ca="1" si="77"/>
        <v>#VALUE!</v>
      </c>
      <c r="U239" s="67" t="e">
        <f t="shared" ca="1" si="87"/>
        <v>#VALUE!</v>
      </c>
      <c r="V239" s="72" t="e">
        <f t="shared" ca="1" si="88"/>
        <v>#VALUE!</v>
      </c>
      <c r="W239" s="73" t="e">
        <f t="shared" ca="1" si="71"/>
        <v>#VALUE!</v>
      </c>
    </row>
    <row r="240" spans="1:23" x14ac:dyDescent="0.35">
      <c r="A240" s="68" t="str">
        <f t="shared" si="72"/>
        <v/>
      </c>
      <c r="B240" s="64" t="str">
        <f t="shared" si="83"/>
        <v/>
      </c>
      <c r="C240" s="64" t="str">
        <f t="shared" ca="1" si="73"/>
        <v xml:space="preserve"> </v>
      </c>
      <c r="D240" s="68" t="str">
        <f t="shared" si="81"/>
        <v/>
      </c>
      <c r="E240" s="65" t="str">
        <f t="shared" si="82"/>
        <v/>
      </c>
      <c r="F240" s="65" t="str">
        <f>IF(AND(A239="",A241=""),"",IF(A240="",ROUND(SUM($F$25:F239),2),IF(A240=$D$8,$E$24-ROUND(SUM($F$25:F239),2),ROUND($E$24/$D$8,2))))</f>
        <v/>
      </c>
      <c r="G240" s="65" t="str">
        <f>IF(A239=$D$8,ROUND(SUM($G$25:G239),2),IF(A240&gt;$D$8,"",IF(T240&lt;&gt;T239,ROUND(SUM(V240*$D$9*E239/T240,W240*$D$9*E239/T239),2),ROUND(E239*$D$9*D240/T239,2))))</f>
        <v/>
      </c>
      <c r="H240" s="65" t="str">
        <f>IF(A239=$D$8,SUM($H$25:H239),IF(A239&gt;$D$8,"",F240+G240))</f>
        <v/>
      </c>
      <c r="I240" s="74" t="str">
        <f t="shared" si="84"/>
        <v/>
      </c>
      <c r="J240" s="74" t="str">
        <f t="shared" si="85"/>
        <v/>
      </c>
      <c r="K240" s="74"/>
      <c r="L240" s="74" t="str">
        <f t="shared" si="86"/>
        <v/>
      </c>
      <c r="M240" s="65" t="str">
        <f t="shared" si="79"/>
        <v/>
      </c>
      <c r="N240" s="65" t="str">
        <f t="shared" si="80"/>
        <v/>
      </c>
      <c r="P240" s="70" t="str">
        <f>IF(A239=$D$8,XIRR(H$24:H239,C$24:C239),"")</f>
        <v/>
      </c>
      <c r="Q240" s="74" t="str">
        <f t="shared" si="78"/>
        <v/>
      </c>
      <c r="R240" s="65">
        <f t="shared" si="75"/>
        <v>0</v>
      </c>
      <c r="S240" s="67" t="e">
        <f t="shared" ca="1" si="76"/>
        <v>#VALUE!</v>
      </c>
      <c r="T240" s="67" t="e">
        <f t="shared" ca="1" si="77"/>
        <v>#VALUE!</v>
      </c>
      <c r="U240" s="67" t="e">
        <f t="shared" ca="1" si="87"/>
        <v>#VALUE!</v>
      </c>
      <c r="V240" s="72" t="e">
        <f t="shared" ca="1" si="88"/>
        <v>#VALUE!</v>
      </c>
      <c r="W240" s="73" t="e">
        <f t="shared" ca="1" si="71"/>
        <v>#VALUE!</v>
      </c>
    </row>
    <row r="241" spans="1:23" x14ac:dyDescent="0.35">
      <c r="A241" s="68" t="str">
        <f t="shared" si="72"/>
        <v/>
      </c>
      <c r="B241" s="64" t="str">
        <f t="shared" si="83"/>
        <v/>
      </c>
      <c r="C241" s="64" t="str">
        <f t="shared" ca="1" si="73"/>
        <v xml:space="preserve"> </v>
      </c>
      <c r="D241" s="68" t="str">
        <f t="shared" si="81"/>
        <v/>
      </c>
      <c r="E241" s="65" t="str">
        <f t="shared" si="82"/>
        <v/>
      </c>
      <c r="F241" s="65" t="str">
        <f>IF(AND(A240="",A242=""),"",IF(A241="",ROUND(SUM($F$25:F240),2),IF(A241=$D$8,$E$24-ROUND(SUM($F$25:F240),2),ROUND($E$24/$D$8,2))))</f>
        <v/>
      </c>
      <c r="G241" s="65" t="str">
        <f>IF(A240=$D$8,ROUND(SUM($G$25:G240),2),IF(A241&gt;$D$8,"",IF(T241&lt;&gt;T240,ROUND(SUM(V241*$D$9*E240/T241,W241*$D$9*E240/T240),2),ROUND(E240*$D$9*D241/T240,2))))</f>
        <v/>
      </c>
      <c r="H241" s="65" t="str">
        <f>IF(A240=$D$8,SUM($H$25:H240),IF(A240&gt;$D$8,"",F241+G241))</f>
        <v/>
      </c>
      <c r="I241" s="74" t="str">
        <f t="shared" si="84"/>
        <v/>
      </c>
      <c r="J241" s="74" t="str">
        <f>IF($D$8&gt;A240,$N$9,IF($D$8=A240,SUM($J$24:J240)," "))</f>
        <v xml:space="preserve"> </v>
      </c>
      <c r="K241" s="74" t="str">
        <f>IF($D$8&gt;A240,($O$8+$N$10*E240),IF(A240=$D$8,$K$37+$K$24+$K$49+$K$61+$K$73+$K$85+$K$97+$K$109+$K$121+$K$133+$K$145+$K$157+$K$169+$K$181+$K$193+$K$205+$K$217+$K$229,""))</f>
        <v/>
      </c>
      <c r="L241" s="74" t="str">
        <f t="shared" si="86"/>
        <v/>
      </c>
      <c r="M241" s="65" t="str">
        <f t="shared" si="79"/>
        <v/>
      </c>
      <c r="N241" s="65" t="str">
        <f t="shared" si="80"/>
        <v/>
      </c>
      <c r="P241" s="70" t="str">
        <f>IF(A240=$D$8,XIRR(H$24:H240,C$24:C240),"")</f>
        <v/>
      </c>
      <c r="Q241" s="74" t="str">
        <f t="shared" si="78"/>
        <v/>
      </c>
      <c r="R241" s="65">
        <f t="shared" si="75"/>
        <v>0</v>
      </c>
      <c r="S241" s="67" t="e">
        <f t="shared" ca="1" si="76"/>
        <v>#VALUE!</v>
      </c>
      <c r="T241" s="67" t="e">
        <f t="shared" ca="1" si="77"/>
        <v>#VALUE!</v>
      </c>
      <c r="U241" s="67" t="e">
        <f t="shared" ca="1" si="87"/>
        <v>#VALUE!</v>
      </c>
      <c r="V241" s="72" t="e">
        <f t="shared" ca="1" si="88"/>
        <v>#VALUE!</v>
      </c>
      <c r="W241" s="73" t="e">
        <f t="shared" ca="1" si="71"/>
        <v>#VALUE!</v>
      </c>
    </row>
    <row r="242" spans="1:23" x14ac:dyDescent="0.35">
      <c r="A242" s="68" t="str">
        <f t="shared" si="72"/>
        <v/>
      </c>
      <c r="B242" s="64" t="str">
        <f t="shared" si="83"/>
        <v/>
      </c>
      <c r="C242" s="64" t="str">
        <f t="shared" ca="1" si="73"/>
        <v xml:space="preserve"> </v>
      </c>
      <c r="D242" s="68" t="str">
        <f t="shared" si="81"/>
        <v/>
      </c>
      <c r="E242" s="65" t="str">
        <f t="shared" si="82"/>
        <v/>
      </c>
      <c r="F242" s="65" t="str">
        <f>IF(AND(A241="",A243=""),"",IF(A242="",ROUND(SUM($F$25:F241),2),IF(A242=$D$8,$E$24-ROUND(SUM($F$25:F241),2),ROUND($E$24/$D$8,2))))</f>
        <v/>
      </c>
      <c r="G242" s="65" t="str">
        <f>IF(A241=$D$8,ROUND(SUM($G$25:G241),2),IF(A242&gt;$D$8,"",IF(T242&lt;&gt;T241,ROUND(SUM(V242*$D$9*E241/T242,W242*$D$9*E241/T241),2),ROUND(E241*$D$9*D242/T241,2))))</f>
        <v/>
      </c>
      <c r="H242" s="65" t="str">
        <f>IF(A241=$D$8,SUM($H$25:H241),IF(A241&gt;$D$8,"",F242+G242))</f>
        <v/>
      </c>
      <c r="I242" s="74" t="str">
        <f t="shared" si="84"/>
        <v/>
      </c>
      <c r="J242" s="74" t="str">
        <f t="shared" ref="J242:J252" si="89">IF(A241=$D$8,$J$24,"")</f>
        <v/>
      </c>
      <c r="K242" s="74"/>
      <c r="L242" s="74" t="str">
        <f t="shared" si="86"/>
        <v/>
      </c>
      <c r="M242" s="65" t="str">
        <f t="shared" si="79"/>
        <v/>
      </c>
      <c r="N242" s="65" t="str">
        <f t="shared" si="80"/>
        <v/>
      </c>
      <c r="P242" s="70" t="str">
        <f>IF(A241=$D$8,XIRR(H$24:H241,C$24:C241),"")</f>
        <v/>
      </c>
      <c r="Q242" s="74" t="str">
        <f t="shared" si="78"/>
        <v/>
      </c>
      <c r="R242" s="65">
        <f t="shared" si="75"/>
        <v>0</v>
      </c>
      <c r="S242" s="67" t="e">
        <f t="shared" ca="1" si="76"/>
        <v>#VALUE!</v>
      </c>
      <c r="T242" s="67" t="e">
        <f t="shared" ca="1" si="77"/>
        <v>#VALUE!</v>
      </c>
      <c r="U242" s="67" t="e">
        <f t="shared" ca="1" si="87"/>
        <v>#VALUE!</v>
      </c>
      <c r="V242" s="72" t="e">
        <f t="shared" ca="1" si="88"/>
        <v>#VALUE!</v>
      </c>
      <c r="W242" s="73" t="e">
        <f t="shared" ca="1" si="71"/>
        <v>#VALUE!</v>
      </c>
    </row>
    <row r="243" spans="1:23" x14ac:dyDescent="0.35">
      <c r="A243" s="68" t="str">
        <f t="shared" si="72"/>
        <v/>
      </c>
      <c r="B243" s="64" t="str">
        <f t="shared" si="83"/>
        <v/>
      </c>
      <c r="C243" s="64" t="str">
        <f t="shared" ca="1" si="73"/>
        <v xml:space="preserve"> </v>
      </c>
      <c r="D243" s="68" t="str">
        <f t="shared" si="81"/>
        <v/>
      </c>
      <c r="E243" s="65" t="str">
        <f t="shared" si="82"/>
        <v/>
      </c>
      <c r="F243" s="65" t="str">
        <f>IF(AND(A242="",A244=""),"",IF(A243="",ROUND(SUM($F$25:F242),2),IF(A243=$D$8,$E$24-ROUND(SUM($F$25:F242),2),ROUND($E$24/$D$8,2))))</f>
        <v/>
      </c>
      <c r="G243" s="65" t="str">
        <f>IF(A242=$D$8,ROUND(SUM($G$25:G242),2),IF(A243&gt;$D$8,"",IF(T243&lt;&gt;T242,ROUND(SUM(V243*$D$9*E242/T243,W243*$D$9*E242/T242),2),ROUND(E242*$D$9*D243/T242,2))))</f>
        <v/>
      </c>
      <c r="H243" s="65" t="str">
        <f>IF(A242=$D$8,SUM($H$25:H242),IF(A242&gt;$D$8,"",F243+G243))</f>
        <v/>
      </c>
      <c r="I243" s="74" t="str">
        <f t="shared" si="84"/>
        <v/>
      </c>
      <c r="J243" s="74" t="str">
        <f t="shared" si="89"/>
        <v/>
      </c>
      <c r="K243" s="74"/>
      <c r="L243" s="74" t="str">
        <f t="shared" si="86"/>
        <v/>
      </c>
      <c r="M243" s="65" t="str">
        <f t="shared" si="79"/>
        <v/>
      </c>
      <c r="N243" s="65" t="str">
        <f t="shared" si="80"/>
        <v/>
      </c>
      <c r="P243" s="70" t="str">
        <f>IF(A242=$D$8,XIRR(H$24:H242,C$24:C242),"")</f>
        <v/>
      </c>
      <c r="Q243" s="74" t="str">
        <f t="shared" si="78"/>
        <v/>
      </c>
      <c r="R243" s="65">
        <f t="shared" si="75"/>
        <v>0</v>
      </c>
      <c r="S243" s="67" t="e">
        <f t="shared" ca="1" si="76"/>
        <v>#VALUE!</v>
      </c>
      <c r="T243" s="67" t="e">
        <f t="shared" ca="1" si="77"/>
        <v>#VALUE!</v>
      </c>
      <c r="U243" s="67" t="e">
        <f t="shared" ca="1" si="87"/>
        <v>#VALUE!</v>
      </c>
      <c r="V243" s="72" t="e">
        <f t="shared" ca="1" si="88"/>
        <v>#VALUE!</v>
      </c>
      <c r="W243" s="73" t="e">
        <f t="shared" ca="1" si="71"/>
        <v>#VALUE!</v>
      </c>
    </row>
    <row r="244" spans="1:23" x14ac:dyDescent="0.35">
      <c r="A244" s="68" t="str">
        <f t="shared" si="72"/>
        <v/>
      </c>
      <c r="B244" s="64" t="str">
        <f t="shared" si="83"/>
        <v/>
      </c>
      <c r="C244" s="64" t="str">
        <f t="shared" ca="1" si="73"/>
        <v xml:space="preserve"> </v>
      </c>
      <c r="D244" s="68" t="str">
        <f t="shared" si="81"/>
        <v/>
      </c>
      <c r="E244" s="65" t="str">
        <f t="shared" si="82"/>
        <v/>
      </c>
      <c r="F244" s="65" t="str">
        <f>IF(AND(A243="",A245=""),"",IF(A244="",ROUND(SUM($F$25:F243),2),IF(A244=$D$8,$E$24-ROUND(SUM($F$25:F243),2),ROUND($E$24/$D$8,2))))</f>
        <v/>
      </c>
      <c r="G244" s="65" t="str">
        <f>IF(A243=$D$8,ROUND(SUM($G$25:G243),2),IF(A244&gt;$D$8,"",IF(T244&lt;&gt;T243,ROUND(SUM(V244*$D$9*E243/T244,W244*$D$9*E243/T243),2),ROUND(E243*$D$9*D244/T243,2))))</f>
        <v/>
      </c>
      <c r="H244" s="65" t="str">
        <f>IF(A243=$D$8,SUM($H$25:H243),IF(A243&gt;$D$8,"",F244+G244))</f>
        <v/>
      </c>
      <c r="I244" s="74" t="str">
        <f t="shared" si="84"/>
        <v/>
      </c>
      <c r="J244" s="74" t="str">
        <f t="shared" si="89"/>
        <v/>
      </c>
      <c r="K244" s="74"/>
      <c r="L244" s="74" t="str">
        <f t="shared" si="86"/>
        <v/>
      </c>
      <c r="M244" s="65" t="str">
        <f t="shared" si="79"/>
        <v/>
      </c>
      <c r="N244" s="65" t="str">
        <f t="shared" si="80"/>
        <v/>
      </c>
      <c r="P244" s="70" t="str">
        <f>IF(A243=$D$8,XIRR(H$24:H243,C$24:C243),"")</f>
        <v/>
      </c>
      <c r="Q244" s="74" t="str">
        <f t="shared" si="78"/>
        <v/>
      </c>
      <c r="R244" s="65">
        <f t="shared" si="75"/>
        <v>0</v>
      </c>
      <c r="S244" s="67" t="e">
        <f t="shared" ca="1" si="76"/>
        <v>#VALUE!</v>
      </c>
      <c r="T244" s="67" t="e">
        <f t="shared" ca="1" si="77"/>
        <v>#VALUE!</v>
      </c>
      <c r="U244" s="67" t="e">
        <f t="shared" ca="1" si="87"/>
        <v>#VALUE!</v>
      </c>
      <c r="V244" s="72" t="e">
        <f t="shared" ca="1" si="88"/>
        <v>#VALUE!</v>
      </c>
      <c r="W244" s="73" t="e">
        <f t="shared" ca="1" si="71"/>
        <v>#VALUE!</v>
      </c>
    </row>
    <row r="245" spans="1:23" x14ac:dyDescent="0.35">
      <c r="A245" s="68" t="str">
        <f t="shared" si="72"/>
        <v/>
      </c>
      <c r="B245" s="64" t="str">
        <f t="shared" si="83"/>
        <v/>
      </c>
      <c r="C245" s="64" t="str">
        <f t="shared" ca="1" si="73"/>
        <v xml:space="preserve"> </v>
      </c>
      <c r="D245" s="68" t="str">
        <f t="shared" si="81"/>
        <v/>
      </c>
      <c r="E245" s="65" t="str">
        <f t="shared" si="82"/>
        <v/>
      </c>
      <c r="F245" s="65" t="str">
        <f>IF(AND(A244="",A246=""),"",IF(A245="",ROUND(SUM($F$25:F244),2),IF(A245=$D$8,$E$24-ROUND(SUM($F$25:F244),2),ROUND($E$24/$D$8,2))))</f>
        <v/>
      </c>
      <c r="G245" s="65" t="str">
        <f>IF(A244=$D$8,ROUND(SUM($G$25:G244),2),IF(A245&gt;$D$8,"",IF(T245&lt;&gt;T244,ROUND(SUM(V245*$D$9*E244/T245,W245*$D$9*E244/T244),2),ROUND(E244*$D$9*D245/T244,2))))</f>
        <v/>
      </c>
      <c r="H245" s="65" t="str">
        <f>IF(A244=$D$8,SUM($H$25:H244),IF(A244&gt;$D$8,"",F245+G245))</f>
        <v/>
      </c>
      <c r="I245" s="74" t="str">
        <f t="shared" si="84"/>
        <v/>
      </c>
      <c r="J245" s="74" t="str">
        <f t="shared" si="89"/>
        <v/>
      </c>
      <c r="K245" s="74"/>
      <c r="L245" s="74" t="str">
        <f t="shared" si="86"/>
        <v/>
      </c>
      <c r="M245" s="65" t="str">
        <f t="shared" si="79"/>
        <v/>
      </c>
      <c r="N245" s="65" t="str">
        <f t="shared" si="80"/>
        <v/>
      </c>
      <c r="P245" s="70" t="str">
        <f>IF(A244=$D$8,XIRR(H$24:H244,C$24:C244),"")</f>
        <v/>
      </c>
      <c r="Q245" s="74" t="str">
        <f t="shared" si="78"/>
        <v/>
      </c>
      <c r="R245" s="65">
        <f t="shared" si="75"/>
        <v>0</v>
      </c>
      <c r="S245" s="67" t="e">
        <f t="shared" ca="1" si="76"/>
        <v>#VALUE!</v>
      </c>
      <c r="T245" s="67" t="e">
        <f t="shared" ca="1" si="77"/>
        <v>#VALUE!</v>
      </c>
      <c r="U245" s="67" t="e">
        <f t="shared" ca="1" si="87"/>
        <v>#VALUE!</v>
      </c>
      <c r="V245" s="72" t="e">
        <f t="shared" ca="1" si="88"/>
        <v>#VALUE!</v>
      </c>
      <c r="W245" s="73" t="e">
        <f t="shared" ca="1" si="71"/>
        <v>#VALUE!</v>
      </c>
    </row>
    <row r="246" spans="1:23" x14ac:dyDescent="0.35">
      <c r="A246" s="68" t="str">
        <f t="shared" si="72"/>
        <v/>
      </c>
      <c r="B246" s="64" t="str">
        <f t="shared" si="83"/>
        <v/>
      </c>
      <c r="C246" s="64" t="str">
        <f t="shared" ca="1" si="73"/>
        <v xml:space="preserve"> </v>
      </c>
      <c r="D246" s="68" t="str">
        <f t="shared" si="81"/>
        <v/>
      </c>
      <c r="E246" s="65" t="str">
        <f t="shared" si="82"/>
        <v/>
      </c>
      <c r="F246" s="65" t="str">
        <f>IF(AND(A245="",A247=""),"",IF(A246="",ROUND(SUM($F$25:F245),2),IF(A246=$D$8,$E$24-ROUND(SUM($F$25:F245),2),ROUND($E$24/$D$8,2))))</f>
        <v/>
      </c>
      <c r="G246" s="65" t="str">
        <f>IF(A245=$D$8,ROUND(SUM($G$25:G245),2),IF(A246&gt;$D$8,"",IF(T246&lt;&gt;T245,ROUND(SUM(V246*$D$9*E245/T246,W246*$D$9*E245/T245),2),ROUND(E245*$D$9*D246/T245,2))))</f>
        <v/>
      </c>
      <c r="H246" s="65" t="str">
        <f>IF(A245=$D$8,SUM($H$25:H245),IF(A245&gt;$D$8,"",F246+G246))</f>
        <v/>
      </c>
      <c r="I246" s="74" t="str">
        <f t="shared" si="84"/>
        <v/>
      </c>
      <c r="J246" s="74" t="str">
        <f t="shared" si="89"/>
        <v/>
      </c>
      <c r="K246" s="74"/>
      <c r="L246" s="74" t="str">
        <f t="shared" si="86"/>
        <v/>
      </c>
      <c r="M246" s="65" t="str">
        <f t="shared" si="79"/>
        <v/>
      </c>
      <c r="N246" s="65" t="str">
        <f t="shared" si="80"/>
        <v/>
      </c>
      <c r="P246" s="70" t="str">
        <f>IF(A245=$D$8,XIRR(H$24:H245,C$24:C245),"")</f>
        <v/>
      </c>
      <c r="Q246" s="74" t="str">
        <f t="shared" si="78"/>
        <v/>
      </c>
      <c r="R246" s="65">
        <f t="shared" si="75"/>
        <v>0</v>
      </c>
      <c r="S246" s="67" t="e">
        <f t="shared" ca="1" si="76"/>
        <v>#VALUE!</v>
      </c>
      <c r="T246" s="67" t="e">
        <f t="shared" ca="1" si="77"/>
        <v>#VALUE!</v>
      </c>
      <c r="U246" s="67" t="e">
        <f t="shared" ca="1" si="87"/>
        <v>#VALUE!</v>
      </c>
      <c r="V246" s="72" t="e">
        <f t="shared" ca="1" si="88"/>
        <v>#VALUE!</v>
      </c>
      <c r="W246" s="73" t="e">
        <f t="shared" ca="1" si="71"/>
        <v>#VALUE!</v>
      </c>
    </row>
    <row r="247" spans="1:23" x14ac:dyDescent="0.35">
      <c r="A247" s="68" t="str">
        <f t="shared" si="72"/>
        <v/>
      </c>
      <c r="B247" s="64" t="str">
        <f t="shared" si="83"/>
        <v/>
      </c>
      <c r="C247" s="64" t="str">
        <f t="shared" ca="1" si="73"/>
        <v xml:space="preserve"> </v>
      </c>
      <c r="D247" s="68" t="str">
        <f t="shared" si="81"/>
        <v/>
      </c>
      <c r="E247" s="65" t="str">
        <f t="shared" si="82"/>
        <v/>
      </c>
      <c r="F247" s="65" t="str">
        <f>IF(AND(A246="",A248=""),"",IF(A247="",ROUND(SUM($F$25:F246),2),IF(A247=$D$8,$E$24-ROUND(SUM($F$25:F246),2),ROUND($E$24/$D$8,2))))</f>
        <v/>
      </c>
      <c r="G247" s="65" t="str">
        <f>IF(A246=$D$8,ROUND(SUM($G$25:G246),2),IF(A247&gt;$D$8,"",IF(T247&lt;&gt;T246,ROUND(SUM(V247*$D$9*E246/T247,W247*$D$9*E246/T246),2),ROUND(E246*$D$9*D247/T246,2))))</f>
        <v/>
      </c>
      <c r="H247" s="65" t="str">
        <f>IF(A246=$D$8,SUM($H$25:H246),IF(A246&gt;$D$8,"",F247+G247))</f>
        <v/>
      </c>
      <c r="I247" s="74" t="str">
        <f t="shared" si="84"/>
        <v/>
      </c>
      <c r="J247" s="74" t="str">
        <f t="shared" si="89"/>
        <v/>
      </c>
      <c r="K247" s="74"/>
      <c r="L247" s="74" t="str">
        <f t="shared" si="86"/>
        <v/>
      </c>
      <c r="M247" s="65" t="str">
        <f t="shared" si="79"/>
        <v/>
      </c>
      <c r="N247" s="65" t="str">
        <f t="shared" si="80"/>
        <v/>
      </c>
      <c r="P247" s="70" t="str">
        <f>IF(A246=$D$8,XIRR(H$24:H246,C$24:C246),"")</f>
        <v/>
      </c>
      <c r="Q247" s="74" t="str">
        <f t="shared" si="78"/>
        <v/>
      </c>
      <c r="R247" s="65">
        <f t="shared" si="75"/>
        <v>0</v>
      </c>
      <c r="S247" s="67" t="e">
        <f t="shared" ca="1" si="76"/>
        <v>#VALUE!</v>
      </c>
      <c r="T247" s="67" t="e">
        <f t="shared" ca="1" si="77"/>
        <v>#VALUE!</v>
      </c>
      <c r="U247" s="67" t="e">
        <f t="shared" ca="1" si="87"/>
        <v>#VALUE!</v>
      </c>
      <c r="V247" s="72" t="e">
        <f t="shared" ca="1" si="88"/>
        <v>#VALUE!</v>
      </c>
      <c r="W247" s="73" t="e">
        <f t="shared" ca="1" si="71"/>
        <v>#VALUE!</v>
      </c>
    </row>
    <row r="248" spans="1:23" x14ac:dyDescent="0.35">
      <c r="A248" s="68" t="str">
        <f t="shared" si="72"/>
        <v/>
      </c>
      <c r="B248" s="64" t="str">
        <f t="shared" si="83"/>
        <v/>
      </c>
      <c r="C248" s="64" t="str">
        <f t="shared" ca="1" si="73"/>
        <v xml:space="preserve"> </v>
      </c>
      <c r="D248" s="68" t="str">
        <f t="shared" si="81"/>
        <v/>
      </c>
      <c r="E248" s="65" t="str">
        <f t="shared" si="82"/>
        <v/>
      </c>
      <c r="F248" s="65" t="str">
        <f>IF(AND(A247="",A249=""),"",IF(A248="",ROUND(SUM($F$25:F247),2),IF(A248=$D$8,$E$24-ROUND(SUM($F$25:F247),2),ROUND($E$24/$D$8,2))))</f>
        <v/>
      </c>
      <c r="G248" s="65" t="str">
        <f>IF(A247=$D$8,ROUND(SUM($G$25:G247),2),IF(A248&gt;$D$8,"",IF(T248&lt;&gt;T247,ROUND(SUM(V248*$D$9*E247/T248,W248*$D$9*E247/T247),2),ROUND(E247*$D$9*D248/T247,2))))</f>
        <v/>
      </c>
      <c r="H248" s="65" t="str">
        <f>IF(A247=$D$8,SUM($H$25:H247),IF(A247&gt;$D$8,"",F248+G248))</f>
        <v/>
      </c>
      <c r="I248" s="74" t="str">
        <f t="shared" si="84"/>
        <v/>
      </c>
      <c r="J248" s="74" t="str">
        <f t="shared" si="89"/>
        <v/>
      </c>
      <c r="K248" s="74"/>
      <c r="L248" s="74" t="str">
        <f t="shared" si="86"/>
        <v/>
      </c>
      <c r="M248" s="65" t="str">
        <f t="shared" si="79"/>
        <v/>
      </c>
      <c r="N248" s="65" t="str">
        <f t="shared" si="80"/>
        <v/>
      </c>
      <c r="P248" s="70" t="str">
        <f>IF(A247=$D$8,XIRR(H$24:H247,C$24:C247),"")</f>
        <v/>
      </c>
      <c r="Q248" s="74" t="str">
        <f t="shared" si="78"/>
        <v/>
      </c>
      <c r="R248" s="65">
        <f t="shared" si="75"/>
        <v>0</v>
      </c>
      <c r="S248" s="67" t="e">
        <f t="shared" ca="1" si="76"/>
        <v>#VALUE!</v>
      </c>
      <c r="T248" s="67" t="e">
        <f t="shared" ca="1" si="77"/>
        <v>#VALUE!</v>
      </c>
      <c r="U248" s="67" t="e">
        <f t="shared" ca="1" si="87"/>
        <v>#VALUE!</v>
      </c>
      <c r="V248" s="72" t="e">
        <f t="shared" ca="1" si="88"/>
        <v>#VALUE!</v>
      </c>
      <c r="W248" s="73" t="e">
        <f t="shared" ca="1" si="71"/>
        <v>#VALUE!</v>
      </c>
    </row>
    <row r="249" spans="1:23" x14ac:dyDescent="0.35">
      <c r="A249" s="68" t="str">
        <f t="shared" si="72"/>
        <v/>
      </c>
      <c r="B249" s="64" t="str">
        <f t="shared" si="83"/>
        <v/>
      </c>
      <c r="C249" s="64" t="str">
        <f t="shared" ca="1" si="73"/>
        <v xml:space="preserve"> </v>
      </c>
      <c r="D249" s="68" t="str">
        <f t="shared" si="81"/>
        <v/>
      </c>
      <c r="E249" s="65" t="str">
        <f t="shared" si="82"/>
        <v/>
      </c>
      <c r="F249" s="65" t="str">
        <f>IF(AND(A248="",A250=""),"",IF(A249="",ROUND(SUM($F$25:F248),2),IF(A249=$D$8,$E$24-ROUND(SUM($F$25:F248),2),ROUND($E$24/$D$8,2))))</f>
        <v/>
      </c>
      <c r="G249" s="65" t="str">
        <f>IF(A248=$D$8,ROUND(SUM($G$25:G248),2),IF(A249&gt;$D$8,"",IF(T249&lt;&gt;T248,ROUND(SUM(V249*$D$9*E248/T249,W249*$D$9*E248/T248),2),ROUND(E248*$D$9*D249/T248,2))))</f>
        <v/>
      </c>
      <c r="H249" s="65" t="str">
        <f>IF(A248=$D$8,SUM($H$25:H248),IF(A248&gt;$D$8,"",F249+G249))</f>
        <v/>
      </c>
      <c r="I249" s="74" t="str">
        <f t="shared" si="84"/>
        <v/>
      </c>
      <c r="J249" s="74" t="str">
        <f t="shared" si="89"/>
        <v/>
      </c>
      <c r="K249" s="74"/>
      <c r="L249" s="74" t="str">
        <f t="shared" si="86"/>
        <v/>
      </c>
      <c r="M249" s="65" t="str">
        <f t="shared" si="79"/>
        <v/>
      </c>
      <c r="N249" s="65" t="str">
        <f t="shared" si="80"/>
        <v/>
      </c>
      <c r="P249" s="70" t="str">
        <f>IF(A248=$D$8,XIRR(H$24:H248,C$24:C248),"")</f>
        <v/>
      </c>
      <c r="Q249" s="74" t="str">
        <f t="shared" si="78"/>
        <v/>
      </c>
      <c r="R249" s="65">
        <f t="shared" si="75"/>
        <v>0</v>
      </c>
      <c r="S249" s="67" t="e">
        <f t="shared" ca="1" si="76"/>
        <v>#VALUE!</v>
      </c>
      <c r="T249" s="67" t="e">
        <f t="shared" ca="1" si="77"/>
        <v>#VALUE!</v>
      </c>
      <c r="U249" s="67" t="e">
        <f t="shared" ca="1" si="87"/>
        <v>#VALUE!</v>
      </c>
      <c r="V249" s="72" t="e">
        <f t="shared" ca="1" si="88"/>
        <v>#VALUE!</v>
      </c>
      <c r="W249" s="73" t="e">
        <f t="shared" ca="1" si="71"/>
        <v>#VALUE!</v>
      </c>
    </row>
    <row r="250" spans="1:23" x14ac:dyDescent="0.35">
      <c r="A250" s="68" t="str">
        <f t="shared" si="72"/>
        <v/>
      </c>
      <c r="B250" s="64" t="str">
        <f t="shared" si="83"/>
        <v/>
      </c>
      <c r="C250" s="64" t="str">
        <f t="shared" ca="1" si="73"/>
        <v xml:space="preserve"> </v>
      </c>
      <c r="D250" s="68" t="str">
        <f t="shared" si="81"/>
        <v/>
      </c>
      <c r="E250" s="65" t="str">
        <f t="shared" si="82"/>
        <v/>
      </c>
      <c r="F250" s="65" t="str">
        <f>IF(AND(A249="",A251=""),"",IF(A250="",ROUND(SUM($F$25:F249),2),IF(A250=$D$8,$E$24-ROUND(SUM($F$25:F249),2),ROUND($E$24/$D$8,2))))</f>
        <v/>
      </c>
      <c r="G250" s="65" t="str">
        <f>IF(A249=$D$8,ROUND(SUM($G$25:G249),2),IF(A250&gt;$D$8,"",IF(T250&lt;&gt;T249,ROUND(SUM(V250*$D$9*E249/T250,W250*$D$9*E249/T249),2),ROUND(E249*$D$9*D250/T249,2))))</f>
        <v/>
      </c>
      <c r="H250" s="65" t="str">
        <f>IF(A249=$D$8,SUM($H$25:H249),IF(A249&gt;$D$8,"",F250+G250))</f>
        <v/>
      </c>
      <c r="I250" s="74" t="str">
        <f t="shared" si="84"/>
        <v/>
      </c>
      <c r="J250" s="74" t="str">
        <f t="shared" si="89"/>
        <v/>
      </c>
      <c r="K250" s="74"/>
      <c r="L250" s="74" t="str">
        <f t="shared" si="86"/>
        <v/>
      </c>
      <c r="M250" s="65" t="str">
        <f t="shared" si="79"/>
        <v/>
      </c>
      <c r="N250" s="65" t="str">
        <f t="shared" si="80"/>
        <v/>
      </c>
      <c r="P250" s="70" t="str">
        <f>IF(A249=$D$8,XIRR(H$24:H249,C$24:C249),"")</f>
        <v/>
      </c>
      <c r="Q250" s="74" t="str">
        <f t="shared" si="78"/>
        <v/>
      </c>
      <c r="R250" s="65">
        <f t="shared" si="75"/>
        <v>0</v>
      </c>
      <c r="S250" s="67" t="e">
        <f t="shared" ca="1" si="76"/>
        <v>#VALUE!</v>
      </c>
      <c r="T250" s="67" t="e">
        <f t="shared" ca="1" si="77"/>
        <v>#VALUE!</v>
      </c>
      <c r="U250" s="67" t="e">
        <f t="shared" ca="1" si="87"/>
        <v>#VALUE!</v>
      </c>
      <c r="V250" s="72" t="e">
        <f t="shared" ca="1" si="88"/>
        <v>#VALUE!</v>
      </c>
      <c r="W250" s="73" t="e">
        <f t="shared" ca="1" si="71"/>
        <v>#VALUE!</v>
      </c>
    </row>
    <row r="251" spans="1:23" x14ac:dyDescent="0.35">
      <c r="A251" s="68" t="str">
        <f t="shared" si="72"/>
        <v/>
      </c>
      <c r="B251" s="64" t="str">
        <f t="shared" si="83"/>
        <v/>
      </c>
      <c r="C251" s="64" t="str">
        <f t="shared" ca="1" si="73"/>
        <v xml:space="preserve"> </v>
      </c>
      <c r="D251" s="68" t="str">
        <f t="shared" si="81"/>
        <v/>
      </c>
      <c r="E251" s="65" t="str">
        <f t="shared" si="82"/>
        <v/>
      </c>
      <c r="F251" s="65" t="str">
        <f>IF(AND(A250="",A252=""),"",IF(A251="",ROUND(SUM($F$25:F250),2),IF(A251=$D$8,$E$24-ROUND(SUM($F$25:F250),2),ROUND($E$24/$D$8,2))))</f>
        <v/>
      </c>
      <c r="G251" s="65" t="str">
        <f>IF(A250=$D$8,ROUND(SUM($G$25:G250),2),IF(A251&gt;$D$8,"",IF(T251&lt;&gt;T250,ROUND(SUM(V251*$D$9*E250/T251,W251*$D$9*E250/T250),2),ROUND(E250*$D$9*D251/T250,2))))</f>
        <v/>
      </c>
      <c r="H251" s="65" t="str">
        <f>IF(A250=$D$8,SUM($H$25:H250),IF(A250&gt;$D$8,"",F251+G251))</f>
        <v/>
      </c>
      <c r="I251" s="74" t="str">
        <f t="shared" si="84"/>
        <v/>
      </c>
      <c r="J251" s="74" t="str">
        <f t="shared" si="89"/>
        <v/>
      </c>
      <c r="K251" s="74"/>
      <c r="L251" s="74" t="str">
        <f t="shared" si="86"/>
        <v/>
      </c>
      <c r="M251" s="65" t="str">
        <f t="shared" si="79"/>
        <v/>
      </c>
      <c r="N251" s="65" t="str">
        <f t="shared" si="80"/>
        <v/>
      </c>
      <c r="P251" s="70" t="str">
        <f>IF(A250=$D$8,XIRR(H$24:H250,C$24:C250),"")</f>
        <v/>
      </c>
      <c r="Q251" s="74" t="str">
        <f t="shared" si="78"/>
        <v/>
      </c>
      <c r="R251" s="65">
        <f t="shared" si="75"/>
        <v>0</v>
      </c>
      <c r="S251" s="67" t="e">
        <f t="shared" ca="1" si="76"/>
        <v>#VALUE!</v>
      </c>
      <c r="T251" s="67" t="e">
        <f t="shared" ca="1" si="77"/>
        <v>#VALUE!</v>
      </c>
      <c r="U251" s="67" t="e">
        <f t="shared" ca="1" si="87"/>
        <v>#VALUE!</v>
      </c>
      <c r="V251" s="72" t="e">
        <f t="shared" ca="1" si="88"/>
        <v>#VALUE!</v>
      </c>
      <c r="W251" s="73" t="e">
        <f t="shared" ca="1" si="71"/>
        <v>#VALUE!</v>
      </c>
    </row>
    <row r="252" spans="1:23" x14ac:dyDescent="0.35">
      <c r="A252" s="68" t="str">
        <f t="shared" si="72"/>
        <v/>
      </c>
      <c r="B252" s="64" t="str">
        <f t="shared" si="83"/>
        <v/>
      </c>
      <c r="C252" s="64" t="str">
        <f t="shared" ca="1" si="73"/>
        <v xml:space="preserve"> </v>
      </c>
      <c r="D252" s="68" t="str">
        <f t="shared" si="81"/>
        <v/>
      </c>
      <c r="E252" s="65" t="str">
        <f t="shared" si="82"/>
        <v/>
      </c>
      <c r="F252" s="65" t="str">
        <f>IF(AND(A251="",A253=""),"",IF(A252="",ROUND(SUM($F$25:F251),2),IF(A252=$D$8,$E$24-ROUND(SUM($F$25:F251),2),ROUND($E$24/$D$8,2))))</f>
        <v/>
      </c>
      <c r="G252" s="65" t="str">
        <f>IF(A251=$D$8,ROUND(SUM($G$25:G251),2),IF(A252&gt;$D$8,"",IF(T252&lt;&gt;T251,ROUND(SUM(V252*$D$9*E251/T252,W252*$D$9*E251/T251),2),ROUND(E251*$D$9*D252/T251,2))))</f>
        <v/>
      </c>
      <c r="H252" s="65" t="str">
        <f>IF(A251=$D$8,SUM($H$25:H251),IF(A251&gt;$D$8,"",F252+G252))</f>
        <v/>
      </c>
      <c r="I252" s="74" t="str">
        <f t="shared" si="84"/>
        <v/>
      </c>
      <c r="J252" s="74" t="str">
        <f t="shared" si="89"/>
        <v/>
      </c>
      <c r="K252" s="74"/>
      <c r="L252" s="74" t="str">
        <f t="shared" si="86"/>
        <v/>
      </c>
      <c r="M252" s="65" t="str">
        <f t="shared" si="79"/>
        <v/>
      </c>
      <c r="N252" s="65" t="str">
        <f t="shared" si="80"/>
        <v/>
      </c>
      <c r="P252" s="70" t="str">
        <f>IF(A251=$D$8,XIRR(H$24:H251,C$24:C251),"")</f>
        <v/>
      </c>
      <c r="Q252" s="74" t="str">
        <f t="shared" si="78"/>
        <v/>
      </c>
      <c r="R252" s="65">
        <f t="shared" si="75"/>
        <v>0</v>
      </c>
      <c r="S252" s="67" t="e">
        <f t="shared" ca="1" si="76"/>
        <v>#VALUE!</v>
      </c>
      <c r="T252" s="67" t="e">
        <f t="shared" ca="1" si="77"/>
        <v>#VALUE!</v>
      </c>
      <c r="U252" s="67" t="e">
        <f t="shared" ca="1" si="87"/>
        <v>#VALUE!</v>
      </c>
      <c r="V252" s="72" t="e">
        <f t="shared" ca="1" si="88"/>
        <v>#VALUE!</v>
      </c>
      <c r="W252" s="73" t="e">
        <f t="shared" ca="1" si="71"/>
        <v>#VALUE!</v>
      </c>
    </row>
    <row r="253" spans="1:23" x14ac:dyDescent="0.35">
      <c r="A253" s="68" t="str">
        <f t="shared" si="72"/>
        <v/>
      </c>
      <c r="B253" s="64" t="str">
        <f t="shared" si="83"/>
        <v/>
      </c>
      <c r="C253" s="64" t="str">
        <f t="shared" ca="1" si="73"/>
        <v xml:space="preserve"> </v>
      </c>
      <c r="D253" s="68" t="str">
        <f t="shared" si="81"/>
        <v/>
      </c>
      <c r="E253" s="65" t="str">
        <f t="shared" si="82"/>
        <v/>
      </c>
      <c r="F253" s="65" t="str">
        <f>IF(AND(A252="",A254=""),"",IF(A253="",ROUND(SUM($F$25:F252),2),IF(A253=$D$8,$E$24-ROUND(SUM($F$25:F252),2),ROUND($E$24/$D$8,2))))</f>
        <v/>
      </c>
      <c r="G253" s="65" t="str">
        <f>IF(A252=$D$8,ROUND(SUM($G$25:G252),2),IF(A253&gt;$D$8,"",IF(T253&lt;&gt;T252,ROUND(SUM(V253*$D$9*E252/T253,W253*$D$9*E252/T252),2),ROUND(E252*$D$9*D253/T252,2))))</f>
        <v/>
      </c>
      <c r="H253" s="65" t="str">
        <f>IF(A252=$D$8,SUM($H$25:H252),IF(A252&gt;$D$8,"",F253+G253))</f>
        <v/>
      </c>
      <c r="I253" s="74" t="str">
        <f t="shared" si="84"/>
        <v/>
      </c>
      <c r="J253" s="74" t="str">
        <f>IF($D$8&gt;A252,$N$9,IF($D$8=A252,SUM($J$24:J252)," "))</f>
        <v xml:space="preserve"> </v>
      </c>
      <c r="K253" s="74" t="str">
        <f>IF($D$8&gt;A252,($O$8+$N$10*E252),IF(A252=$D$8,$K$37+$K$24+$K$49+$K$61+$K$73+$K$85+$K$97+$K$109+$K$121+$K$133+$K$145+$K$157+$K$169+$K$181+$K$193+$K$205+$K$217+$K$229+$K$241,""))</f>
        <v/>
      </c>
      <c r="L253" s="74" t="str">
        <f t="shared" si="86"/>
        <v/>
      </c>
      <c r="M253" s="65" t="str">
        <f t="shared" si="79"/>
        <v/>
      </c>
      <c r="N253" s="65" t="str">
        <f t="shared" si="80"/>
        <v/>
      </c>
      <c r="P253" s="70" t="str">
        <f>IF(A252=$D$8,XIRR(H$24:H252,C$24:C252),"")</f>
        <v/>
      </c>
      <c r="Q253" s="74" t="str">
        <f t="shared" si="78"/>
        <v/>
      </c>
      <c r="R253" s="65">
        <f t="shared" si="75"/>
        <v>0</v>
      </c>
      <c r="S253" s="67" t="e">
        <f t="shared" ca="1" si="76"/>
        <v>#VALUE!</v>
      </c>
      <c r="T253" s="67" t="e">
        <f t="shared" ca="1" si="77"/>
        <v>#VALUE!</v>
      </c>
      <c r="U253" s="67" t="e">
        <f t="shared" ca="1" si="87"/>
        <v>#VALUE!</v>
      </c>
      <c r="V253" s="72" t="e">
        <f t="shared" ca="1" si="88"/>
        <v>#VALUE!</v>
      </c>
      <c r="W253" s="73" t="e">
        <f t="shared" ca="1" si="71"/>
        <v>#VALUE!</v>
      </c>
    </row>
    <row r="254" spans="1:23" x14ac:dyDescent="0.35">
      <c r="A254" s="68" t="str">
        <f t="shared" si="72"/>
        <v/>
      </c>
      <c r="B254" s="64" t="str">
        <f t="shared" si="83"/>
        <v/>
      </c>
      <c r="C254" s="64" t="str">
        <f t="shared" ca="1" si="73"/>
        <v xml:space="preserve"> </v>
      </c>
      <c r="D254" s="68" t="str">
        <f t="shared" si="81"/>
        <v/>
      </c>
      <c r="E254" s="65" t="str">
        <f t="shared" si="82"/>
        <v/>
      </c>
      <c r="F254" s="65" t="str">
        <f>IF(AND(A253="",A255=""),"",IF(A254="",ROUND(SUM($F$25:F253),2),IF(A254=$D$8,$E$24-ROUND(SUM($F$25:F253),2),ROUND($E$24/$D$8,2))))</f>
        <v/>
      </c>
      <c r="G254" s="65" t="str">
        <f>IF(A253=$D$8,ROUND(SUM($G$25:G253),2),IF(A254&gt;$D$8,"",IF(T254&lt;&gt;T253,ROUND(SUM(V254*$D$9*E253/T254,W254*$D$9*E253/T253),2),ROUND(E253*$D$9*D254/T253,2))))</f>
        <v/>
      </c>
      <c r="H254" s="65" t="str">
        <f>IF(A253=$D$8,SUM($H$25:H253),IF(A253&gt;$D$8,"",F254+G254))</f>
        <v/>
      </c>
      <c r="I254" s="74" t="str">
        <f t="shared" si="84"/>
        <v/>
      </c>
      <c r="J254" s="74" t="str">
        <f t="shared" ref="J254:J264" si="90">IF(A253=$D$8,$J$24,"")</f>
        <v/>
      </c>
      <c r="K254" s="74" t="str">
        <f t="shared" ref="K254:K264" si="91">IF(A253=$D$8,$K$24,"")</f>
        <v/>
      </c>
      <c r="L254" s="74" t="str">
        <f t="shared" si="86"/>
        <v/>
      </c>
      <c r="M254" s="65" t="str">
        <f t="shared" si="79"/>
        <v/>
      </c>
      <c r="N254" s="65" t="str">
        <f t="shared" si="80"/>
        <v/>
      </c>
      <c r="P254" s="70" t="str">
        <f>IF(A253=$D$8,XIRR(H$24:H253,C$24:C253),"")</f>
        <v/>
      </c>
      <c r="Q254" s="74" t="str">
        <f t="shared" si="78"/>
        <v/>
      </c>
      <c r="R254" s="65">
        <f t="shared" si="75"/>
        <v>0</v>
      </c>
      <c r="S254" s="67" t="e">
        <f t="shared" ca="1" si="76"/>
        <v>#VALUE!</v>
      </c>
      <c r="T254" s="67" t="e">
        <f t="shared" ca="1" si="77"/>
        <v>#VALUE!</v>
      </c>
      <c r="U254" s="67" t="e">
        <f t="shared" ca="1" si="87"/>
        <v>#VALUE!</v>
      </c>
      <c r="V254" s="72" t="e">
        <f t="shared" ca="1" si="88"/>
        <v>#VALUE!</v>
      </c>
      <c r="W254" s="73" t="e">
        <f t="shared" ca="1" si="71"/>
        <v>#VALUE!</v>
      </c>
    </row>
    <row r="255" spans="1:23" x14ac:dyDescent="0.35">
      <c r="A255" s="68" t="str">
        <f t="shared" si="72"/>
        <v/>
      </c>
      <c r="B255" s="64" t="str">
        <f t="shared" si="83"/>
        <v/>
      </c>
      <c r="C255" s="64" t="str">
        <f t="shared" ca="1" si="73"/>
        <v xml:space="preserve"> </v>
      </c>
      <c r="D255" s="68" t="str">
        <f t="shared" si="81"/>
        <v/>
      </c>
      <c r="E255" s="65" t="str">
        <f t="shared" si="82"/>
        <v/>
      </c>
      <c r="F255" s="65" t="str">
        <f>IF(AND(A254="",A256=""),"",IF(A255="",ROUND(SUM($F$25:F254),2),IF(A255=$D$8,$E$24-ROUND(SUM($F$25:F254),2),ROUND($E$24/$D$8,2))))</f>
        <v/>
      </c>
      <c r="G255" s="65" t="str">
        <f>IF(A254=$D$8,ROUND(SUM($G$25:G254),2),IF(A255&gt;$D$8,"",IF(T255&lt;&gt;T254,ROUND(SUM(V255*$D$9*E254/T255,W255*$D$9*E254/T254),2),ROUND(E254*$D$9*D255/T254,2))))</f>
        <v/>
      </c>
      <c r="H255" s="65" t="str">
        <f>IF(A254=$D$8,SUM($H$25:H254),IF(A254&gt;$D$8,"",F255+G255))</f>
        <v/>
      </c>
      <c r="I255" s="74" t="str">
        <f t="shared" si="84"/>
        <v/>
      </c>
      <c r="J255" s="74" t="str">
        <f t="shared" si="90"/>
        <v/>
      </c>
      <c r="K255" s="74" t="str">
        <f t="shared" si="91"/>
        <v/>
      </c>
      <c r="L255" s="74" t="str">
        <f t="shared" si="86"/>
        <v/>
      </c>
      <c r="M255" s="65" t="str">
        <f t="shared" si="79"/>
        <v/>
      </c>
      <c r="N255" s="65" t="str">
        <f t="shared" si="80"/>
        <v/>
      </c>
      <c r="P255" s="70" t="str">
        <f>IF(A254=$D$8,XIRR(H$24:H254,C$24:C254),"")</f>
        <v/>
      </c>
      <c r="Q255" s="74" t="str">
        <f t="shared" si="78"/>
        <v/>
      </c>
      <c r="R255" s="65">
        <f t="shared" si="75"/>
        <v>0</v>
      </c>
      <c r="S255" s="67" t="e">
        <f t="shared" ca="1" si="76"/>
        <v>#VALUE!</v>
      </c>
      <c r="T255" s="67" t="e">
        <f t="shared" ca="1" si="77"/>
        <v>#VALUE!</v>
      </c>
      <c r="U255" s="67" t="e">
        <f t="shared" ca="1" si="87"/>
        <v>#VALUE!</v>
      </c>
      <c r="V255" s="72" t="e">
        <f t="shared" ca="1" si="88"/>
        <v>#VALUE!</v>
      </c>
      <c r="W255" s="73" t="e">
        <f t="shared" ca="1" si="71"/>
        <v>#VALUE!</v>
      </c>
    </row>
    <row r="256" spans="1:23" x14ac:dyDescent="0.35">
      <c r="A256" s="68" t="str">
        <f t="shared" si="72"/>
        <v/>
      </c>
      <c r="B256" s="64" t="str">
        <f t="shared" si="83"/>
        <v/>
      </c>
      <c r="C256" s="64" t="str">
        <f t="shared" ca="1" si="73"/>
        <v xml:space="preserve"> </v>
      </c>
      <c r="D256" s="68" t="str">
        <f t="shared" si="81"/>
        <v/>
      </c>
      <c r="E256" s="65" t="str">
        <f t="shared" si="82"/>
        <v/>
      </c>
      <c r="F256" s="65" t="str">
        <f>IF(AND(A255="",A257=""),"",IF(A256="",ROUND(SUM($F$25:F255),2),IF(A256=$D$8,$E$24-ROUND(SUM($F$25:F255),2),ROUND($E$24/$D$8,2))))</f>
        <v/>
      </c>
      <c r="G256" s="65" t="str">
        <f>IF(A255=$D$8,ROUND(SUM($G$25:G255),2),IF(A256&gt;$D$8,"",IF(T256&lt;&gt;T255,ROUND(SUM(V256*$D$9*E255/T256,W256*$D$9*E255/T255),2),ROUND(E255*$D$9*D256/T255,2))))</f>
        <v/>
      </c>
      <c r="H256" s="65" t="str">
        <f>IF(A255=$D$8,SUM($H$25:H255),IF(A255&gt;$D$8,"",F256+G256))</f>
        <v/>
      </c>
      <c r="I256" s="74" t="str">
        <f t="shared" si="84"/>
        <v/>
      </c>
      <c r="J256" s="74" t="str">
        <f t="shared" si="90"/>
        <v/>
      </c>
      <c r="K256" s="74" t="str">
        <f t="shared" si="91"/>
        <v/>
      </c>
      <c r="L256" s="74" t="str">
        <f t="shared" si="86"/>
        <v/>
      </c>
      <c r="M256" s="65" t="str">
        <f t="shared" si="79"/>
        <v/>
      </c>
      <c r="N256" s="65" t="str">
        <f t="shared" si="80"/>
        <v/>
      </c>
      <c r="P256" s="70" t="str">
        <f>IF(A255=$D$8,XIRR(H$24:H255,C$24:C255),"")</f>
        <v/>
      </c>
      <c r="Q256" s="74" t="str">
        <f t="shared" si="78"/>
        <v/>
      </c>
      <c r="R256" s="65">
        <f t="shared" si="75"/>
        <v>0</v>
      </c>
      <c r="S256" s="67" t="e">
        <f t="shared" ca="1" si="76"/>
        <v>#VALUE!</v>
      </c>
      <c r="T256" s="67" t="e">
        <f t="shared" ca="1" si="77"/>
        <v>#VALUE!</v>
      </c>
      <c r="U256" s="67" t="e">
        <f t="shared" ca="1" si="87"/>
        <v>#VALUE!</v>
      </c>
      <c r="V256" s="72" t="e">
        <f t="shared" ca="1" si="88"/>
        <v>#VALUE!</v>
      </c>
      <c r="W256" s="73" t="e">
        <f t="shared" ca="1" si="71"/>
        <v>#VALUE!</v>
      </c>
    </row>
    <row r="257" spans="1:23" x14ac:dyDescent="0.35">
      <c r="A257" s="68" t="str">
        <f t="shared" si="72"/>
        <v/>
      </c>
      <c r="B257" s="64" t="str">
        <f t="shared" si="83"/>
        <v/>
      </c>
      <c r="C257" s="64" t="str">
        <f t="shared" ca="1" si="73"/>
        <v xml:space="preserve"> </v>
      </c>
      <c r="D257" s="68" t="str">
        <f t="shared" si="81"/>
        <v/>
      </c>
      <c r="E257" s="65" t="str">
        <f t="shared" si="82"/>
        <v/>
      </c>
      <c r="F257" s="65" t="str">
        <f>IF(AND(A256="",A258=""),"",IF(A257="",ROUND(SUM($F$25:F256),2),IF(A257=$D$8,$E$24-ROUND(SUM($F$25:F256),2),ROUND($E$24/$D$8,2))))</f>
        <v/>
      </c>
      <c r="G257" s="65" t="str">
        <f>IF(A256=$D$8,ROUND(SUM($G$25:G256),2),IF(A257&gt;$D$8,"",IF(T257&lt;&gt;T256,ROUND(SUM(V257*$D$9*E256/T257,W257*$D$9*E256/T256),2),ROUND(E256*$D$9*D257/T256,2))))</f>
        <v/>
      </c>
      <c r="H257" s="65" t="str">
        <f>IF(A256=$D$8,SUM($H$25:H256),IF(A256&gt;$D$8,"",F257+G257))</f>
        <v/>
      </c>
      <c r="I257" s="74" t="str">
        <f t="shared" si="84"/>
        <v/>
      </c>
      <c r="J257" s="74" t="str">
        <f t="shared" si="90"/>
        <v/>
      </c>
      <c r="K257" s="74" t="str">
        <f t="shared" si="91"/>
        <v/>
      </c>
      <c r="L257" s="74" t="str">
        <f t="shared" si="86"/>
        <v/>
      </c>
      <c r="M257" s="65" t="str">
        <f t="shared" si="79"/>
        <v/>
      </c>
      <c r="N257" s="65" t="str">
        <f t="shared" si="80"/>
        <v/>
      </c>
      <c r="P257" s="70" t="str">
        <f>IF(A256=$D$8,XIRR(H$24:H256,C$24:C256),"")</f>
        <v/>
      </c>
      <c r="Q257" s="74" t="str">
        <f t="shared" si="78"/>
        <v/>
      </c>
      <c r="R257" s="65">
        <f t="shared" si="75"/>
        <v>0</v>
      </c>
      <c r="S257" s="67" t="e">
        <f t="shared" ca="1" si="76"/>
        <v>#VALUE!</v>
      </c>
      <c r="T257" s="67" t="e">
        <f t="shared" ca="1" si="77"/>
        <v>#VALUE!</v>
      </c>
      <c r="U257" s="67" t="e">
        <f t="shared" ca="1" si="87"/>
        <v>#VALUE!</v>
      </c>
      <c r="V257" s="72" t="e">
        <f t="shared" ca="1" si="88"/>
        <v>#VALUE!</v>
      </c>
      <c r="W257" s="73" t="e">
        <f t="shared" ca="1" si="71"/>
        <v>#VALUE!</v>
      </c>
    </row>
    <row r="258" spans="1:23" x14ac:dyDescent="0.35">
      <c r="A258" s="68" t="str">
        <f t="shared" si="72"/>
        <v/>
      </c>
      <c r="B258" s="64" t="str">
        <f t="shared" si="83"/>
        <v/>
      </c>
      <c r="C258" s="64" t="str">
        <f t="shared" ca="1" si="73"/>
        <v xml:space="preserve"> </v>
      </c>
      <c r="D258" s="68" t="str">
        <f t="shared" si="81"/>
        <v/>
      </c>
      <c r="E258" s="65" t="str">
        <f t="shared" si="82"/>
        <v/>
      </c>
      <c r="F258" s="65" t="str">
        <f>IF(AND(A257="",A259=""),"",IF(A258="",ROUND(SUM($F$25:F257),2),IF(A258=$D$8,$E$24-ROUND(SUM($F$25:F257),2),ROUND($E$24/$D$8,2))))</f>
        <v/>
      </c>
      <c r="G258" s="65" t="str">
        <f>IF(A257=$D$8,ROUND(SUM($G$25:G257),2),IF(A258&gt;$D$8,"",IF(T258&lt;&gt;T257,ROUND(SUM(V258*$D$9*E257/T258,W258*$D$9*E257/T257),2),ROUND(E257*$D$9*D258/T257,2))))</f>
        <v/>
      </c>
      <c r="H258" s="65" t="str">
        <f>IF(A257=$D$8,SUM($H$25:H257),IF(A257&gt;$D$8,"",F258+G258))</f>
        <v/>
      </c>
      <c r="I258" s="74" t="str">
        <f t="shared" si="84"/>
        <v/>
      </c>
      <c r="J258" s="74" t="str">
        <f t="shared" si="90"/>
        <v/>
      </c>
      <c r="K258" s="74" t="str">
        <f t="shared" si="91"/>
        <v/>
      </c>
      <c r="L258" s="74" t="str">
        <f t="shared" si="86"/>
        <v/>
      </c>
      <c r="M258" s="65" t="str">
        <f t="shared" si="79"/>
        <v/>
      </c>
      <c r="N258" s="65" t="str">
        <f t="shared" si="80"/>
        <v/>
      </c>
      <c r="P258" s="70" t="str">
        <f>IF(A257=$D$8,XIRR(H$24:H257,C$24:C257),"")</f>
        <v/>
      </c>
      <c r="Q258" s="74" t="str">
        <f t="shared" si="78"/>
        <v/>
      </c>
      <c r="R258" s="65">
        <f t="shared" si="75"/>
        <v>0</v>
      </c>
      <c r="S258" s="67" t="e">
        <f t="shared" ca="1" si="76"/>
        <v>#VALUE!</v>
      </c>
      <c r="T258" s="67" t="e">
        <f t="shared" ca="1" si="77"/>
        <v>#VALUE!</v>
      </c>
      <c r="U258" s="67" t="e">
        <f t="shared" ca="1" si="87"/>
        <v>#VALUE!</v>
      </c>
      <c r="V258" s="72" t="e">
        <f t="shared" ca="1" si="88"/>
        <v>#VALUE!</v>
      </c>
      <c r="W258" s="73" t="e">
        <f t="shared" ca="1" si="71"/>
        <v>#VALUE!</v>
      </c>
    </row>
    <row r="259" spans="1:23" x14ac:dyDescent="0.35">
      <c r="A259" s="68" t="str">
        <f t="shared" si="72"/>
        <v/>
      </c>
      <c r="B259" s="64" t="str">
        <f t="shared" si="83"/>
        <v/>
      </c>
      <c r="C259" s="64" t="str">
        <f t="shared" ca="1" si="73"/>
        <v xml:space="preserve"> </v>
      </c>
      <c r="D259" s="68" t="str">
        <f t="shared" si="81"/>
        <v/>
      </c>
      <c r="E259" s="65" t="str">
        <f t="shared" si="82"/>
        <v/>
      </c>
      <c r="F259" s="65" t="str">
        <f>IF(AND(A258="",A260=""),"",IF(A259="",ROUND(SUM($F$25:F258),2),IF(A259=$D$8,$E$24-ROUND(SUM($F$25:F258),2),ROUND($E$24/$D$8,2))))</f>
        <v/>
      </c>
      <c r="G259" s="65" t="str">
        <f>IF(A258=$D$8,ROUND(SUM($G$25:G258),2),IF(A259&gt;$D$8,"",IF(T259&lt;&gt;T258,ROUND(SUM(V259*$D$9*E258/T259,W259*$D$9*E258/T258),2),ROUND(E258*$D$9*D259/T258,2))))</f>
        <v/>
      </c>
      <c r="H259" s="65" t="str">
        <f>IF(A258=$D$8,SUM($H$25:H258),IF(A258&gt;$D$8,"",F259+G259))</f>
        <v/>
      </c>
      <c r="I259" s="74" t="str">
        <f t="shared" si="84"/>
        <v/>
      </c>
      <c r="J259" s="74" t="str">
        <f t="shared" si="90"/>
        <v/>
      </c>
      <c r="K259" s="74" t="str">
        <f t="shared" si="91"/>
        <v/>
      </c>
      <c r="L259" s="74" t="str">
        <f t="shared" si="86"/>
        <v/>
      </c>
      <c r="M259" s="65" t="str">
        <f t="shared" si="79"/>
        <v/>
      </c>
      <c r="N259" s="65" t="str">
        <f t="shared" si="80"/>
        <v/>
      </c>
      <c r="P259" s="70" t="str">
        <f>IF(A258=$D$8,XIRR(H$24:H258,C$24:C258),"")</f>
        <v/>
      </c>
      <c r="Q259" s="74" t="str">
        <f t="shared" si="78"/>
        <v/>
      </c>
      <c r="R259" s="65">
        <f t="shared" si="75"/>
        <v>0</v>
      </c>
      <c r="S259" s="67" t="e">
        <f t="shared" ca="1" si="76"/>
        <v>#VALUE!</v>
      </c>
      <c r="T259" s="67" t="e">
        <f t="shared" ca="1" si="77"/>
        <v>#VALUE!</v>
      </c>
      <c r="U259" s="67" t="e">
        <f t="shared" ca="1" si="87"/>
        <v>#VALUE!</v>
      </c>
      <c r="V259" s="72" t="e">
        <f t="shared" ca="1" si="88"/>
        <v>#VALUE!</v>
      </c>
      <c r="W259" s="73" t="e">
        <f t="shared" ca="1" si="71"/>
        <v>#VALUE!</v>
      </c>
    </row>
    <row r="260" spans="1:23" x14ac:dyDescent="0.35">
      <c r="A260" s="68" t="str">
        <f t="shared" si="72"/>
        <v/>
      </c>
      <c r="B260" s="64" t="str">
        <f t="shared" si="83"/>
        <v/>
      </c>
      <c r="C260" s="64" t="str">
        <f t="shared" ca="1" si="73"/>
        <v xml:space="preserve"> </v>
      </c>
      <c r="D260" s="68" t="str">
        <f t="shared" si="81"/>
        <v/>
      </c>
      <c r="E260" s="65" t="str">
        <f t="shared" si="82"/>
        <v/>
      </c>
      <c r="F260" s="65" t="str">
        <f>IF(AND(A259="",A261=""),"",IF(A260="",ROUND(SUM($F$25:F259),2),IF(A260=$D$8,$E$24-ROUND(SUM($F$25:F259),2),ROUND($E$24/$D$8,2))))</f>
        <v/>
      </c>
      <c r="G260" s="65" t="str">
        <f>IF(A259=$D$8,ROUND(SUM($G$25:G259),2),IF(A260&gt;$D$8,"",IF(T260&lt;&gt;T259,ROUND(SUM(V260*$D$9*E259/T260,W260*$D$9*E259/T259),2),ROUND(E259*$D$9*D260/T259,2))))</f>
        <v/>
      </c>
      <c r="H260" s="65" t="str">
        <f>IF(A259=$D$8,SUM($H$25:H259),IF(A259&gt;$D$8,"",F260+G260))</f>
        <v/>
      </c>
      <c r="I260" s="74" t="str">
        <f t="shared" si="84"/>
        <v/>
      </c>
      <c r="J260" s="74" t="str">
        <f t="shared" si="90"/>
        <v/>
      </c>
      <c r="K260" s="74" t="str">
        <f t="shared" si="91"/>
        <v/>
      </c>
      <c r="L260" s="74" t="str">
        <f t="shared" si="86"/>
        <v/>
      </c>
      <c r="M260" s="65" t="str">
        <f t="shared" si="79"/>
        <v/>
      </c>
      <c r="N260" s="65" t="str">
        <f t="shared" si="80"/>
        <v/>
      </c>
      <c r="P260" s="70" t="str">
        <f>IF(A259=$D$8,XIRR(H$24:H259,C$24:C259),"")</f>
        <v/>
      </c>
      <c r="Q260" s="74" t="str">
        <f t="shared" si="78"/>
        <v/>
      </c>
      <c r="R260" s="65">
        <f t="shared" si="75"/>
        <v>0</v>
      </c>
      <c r="S260" s="67" t="e">
        <f t="shared" ca="1" si="76"/>
        <v>#VALUE!</v>
      </c>
      <c r="T260" s="67" t="e">
        <f t="shared" ca="1" si="77"/>
        <v>#VALUE!</v>
      </c>
      <c r="U260" s="67" t="e">
        <f t="shared" ca="1" si="87"/>
        <v>#VALUE!</v>
      </c>
      <c r="V260" s="72" t="e">
        <f t="shared" ca="1" si="88"/>
        <v>#VALUE!</v>
      </c>
      <c r="W260" s="73" t="e">
        <f t="shared" ca="1" si="71"/>
        <v>#VALUE!</v>
      </c>
    </row>
    <row r="261" spans="1:23" x14ac:dyDescent="0.35">
      <c r="A261" s="68" t="str">
        <f t="shared" si="72"/>
        <v/>
      </c>
      <c r="B261" s="64" t="str">
        <f t="shared" si="83"/>
        <v/>
      </c>
      <c r="C261" s="64" t="str">
        <f t="shared" ca="1" si="73"/>
        <v xml:space="preserve"> </v>
      </c>
      <c r="D261" s="68" t="str">
        <f t="shared" si="81"/>
        <v/>
      </c>
      <c r="E261" s="65" t="str">
        <f t="shared" si="82"/>
        <v/>
      </c>
      <c r="F261" s="65" t="str">
        <f>IF(AND(A260="",A262=""),"",IF(A261="",ROUND(SUM($F$25:F260),2),IF(A261=$D$8,$E$24-ROUND(SUM($F$25:F260),2),ROUND($E$24/$D$8,2))))</f>
        <v/>
      </c>
      <c r="G261" s="65" t="str">
        <f>IF(A260=$D$8,ROUND(SUM($G$25:G260),2),IF(A261&gt;$D$8,"",IF(T261&lt;&gt;T260,ROUND(SUM(V261*$D$9*E260/T261,W261*$D$9*E260/T260),2),ROUND(E260*$D$9*D261/T260,2))))</f>
        <v/>
      </c>
      <c r="H261" s="65" t="str">
        <f>IF(A260=$D$8,SUM($H$25:H260),IF(A260&gt;$D$8,"",F261+G261))</f>
        <v/>
      </c>
      <c r="I261" s="74" t="str">
        <f t="shared" si="84"/>
        <v/>
      </c>
      <c r="J261" s="74" t="str">
        <f t="shared" si="90"/>
        <v/>
      </c>
      <c r="K261" s="74" t="str">
        <f t="shared" si="91"/>
        <v/>
      </c>
      <c r="L261" s="74" t="str">
        <f t="shared" si="86"/>
        <v/>
      </c>
      <c r="M261" s="65" t="str">
        <f t="shared" si="79"/>
        <v/>
      </c>
      <c r="N261" s="65" t="str">
        <f t="shared" si="80"/>
        <v/>
      </c>
      <c r="P261" s="70" t="str">
        <f>IF(A260=$D$8,XIRR(H$24:H260,C$24:C260),"")</f>
        <v/>
      </c>
      <c r="Q261" s="74" t="str">
        <f t="shared" si="78"/>
        <v/>
      </c>
      <c r="R261" s="65">
        <f t="shared" si="75"/>
        <v>0</v>
      </c>
      <c r="S261" s="67" t="e">
        <f t="shared" ca="1" si="76"/>
        <v>#VALUE!</v>
      </c>
      <c r="T261" s="67" t="e">
        <f t="shared" ca="1" si="77"/>
        <v>#VALUE!</v>
      </c>
      <c r="U261" s="67" t="e">
        <f t="shared" ca="1" si="87"/>
        <v>#VALUE!</v>
      </c>
      <c r="V261" s="72" t="e">
        <f t="shared" ca="1" si="88"/>
        <v>#VALUE!</v>
      </c>
      <c r="W261" s="73" t="e">
        <f t="shared" ca="1" si="71"/>
        <v>#VALUE!</v>
      </c>
    </row>
    <row r="262" spans="1:23" x14ac:dyDescent="0.35">
      <c r="A262" s="68" t="str">
        <f t="shared" ref="A262:A266" si="92">IF(A261&lt;$D$8,A261+1,"")</f>
        <v/>
      </c>
      <c r="B262" s="64" t="str">
        <f t="shared" si="83"/>
        <v/>
      </c>
      <c r="C262" s="64" t="str">
        <f t="shared" ca="1" si="73"/>
        <v xml:space="preserve"> </v>
      </c>
      <c r="D262" s="68" t="str">
        <f t="shared" si="81"/>
        <v/>
      </c>
      <c r="E262" s="65" t="str">
        <f t="shared" si="82"/>
        <v/>
      </c>
      <c r="F262" s="65" t="str">
        <f>IF(AND(A261="",A263=""),"",IF(A262="",ROUND(SUM($F$25:F261),2),IF(A262=$D$8,$E$24-ROUND(SUM($F$25:F261),2),ROUND($E$24/$D$8,2))))</f>
        <v/>
      </c>
      <c r="G262" s="65" t="str">
        <f>IF(A261=$D$8,ROUND(SUM($G$25:G261),2),IF(A262&gt;$D$8,"",IF(T262&lt;&gt;T261,ROUND(SUM(V262*$D$9*E261/T262,W262*$D$9*E261/T261),2),ROUND(E261*$D$9*D262/T261,2))))</f>
        <v/>
      </c>
      <c r="H262" s="65" t="str">
        <f>IF(A261=$D$8,SUM($H$25:H261),IF(A261&gt;$D$8,"",F262+G262))</f>
        <v/>
      </c>
      <c r="I262" s="74" t="str">
        <f t="shared" si="84"/>
        <v/>
      </c>
      <c r="J262" s="74" t="str">
        <f t="shared" si="90"/>
        <v/>
      </c>
      <c r="K262" s="74" t="str">
        <f t="shared" si="91"/>
        <v/>
      </c>
      <c r="L262" s="74" t="str">
        <f t="shared" si="86"/>
        <v/>
      </c>
      <c r="M262" s="65" t="str">
        <f t="shared" si="79"/>
        <v/>
      </c>
      <c r="N262" s="65" t="str">
        <f t="shared" si="80"/>
        <v/>
      </c>
      <c r="P262" s="70" t="str">
        <f>IF(A261=$D$8,XIRR(H$24:H261,C$24:C261),"")</f>
        <v/>
      </c>
      <c r="Q262" s="74" t="str">
        <f t="shared" si="78"/>
        <v/>
      </c>
      <c r="R262" s="65">
        <f t="shared" si="75"/>
        <v>0</v>
      </c>
      <c r="S262" s="67" t="e">
        <f t="shared" ca="1" si="76"/>
        <v>#VALUE!</v>
      </c>
      <c r="T262" s="67" t="e">
        <f t="shared" ca="1" si="77"/>
        <v>#VALUE!</v>
      </c>
      <c r="U262" s="67" t="e">
        <f t="shared" ca="1" si="87"/>
        <v>#VALUE!</v>
      </c>
      <c r="V262" s="72" t="e">
        <f t="shared" ca="1" si="88"/>
        <v>#VALUE!</v>
      </c>
      <c r="W262" s="73" t="e">
        <f t="shared" ca="1" si="71"/>
        <v>#VALUE!</v>
      </c>
    </row>
    <row r="263" spans="1:23" x14ac:dyDescent="0.35">
      <c r="A263" s="68" t="str">
        <f t="shared" si="92"/>
        <v/>
      </c>
      <c r="B263" s="64" t="str">
        <f t="shared" si="83"/>
        <v/>
      </c>
      <c r="C263" s="64" t="str">
        <f t="shared" ca="1" si="73"/>
        <v xml:space="preserve"> </v>
      </c>
      <c r="D263" s="68" t="str">
        <f t="shared" si="81"/>
        <v/>
      </c>
      <c r="E263" s="65" t="str">
        <f t="shared" si="82"/>
        <v/>
      </c>
      <c r="F263" s="65" t="str">
        <f>IF(AND(A262="",A264=""),"",IF(A263="",ROUND(SUM($F$25:F262),2),IF(A263=$D$8,$E$24-ROUND(SUM($F$25:F262),2),ROUND($E$24/$D$8,2))))</f>
        <v/>
      </c>
      <c r="G263" s="65" t="str">
        <f>IF(A262=$D$8,ROUND(SUM($G$25:G262),2),IF(A263&gt;$D$8,"",IF(T263&lt;&gt;T262,ROUND(SUM(V263*$D$9*E262/T263,W263*$D$9*E262/T262),2),ROUND(E262*$D$9*D263/T262,2))))</f>
        <v/>
      </c>
      <c r="H263" s="65" t="str">
        <f>IF(A262=$D$8,SUM($H$25:H262),IF(A262&gt;$D$8,"",F263+G263))</f>
        <v/>
      </c>
      <c r="I263" s="74" t="str">
        <f t="shared" si="84"/>
        <v/>
      </c>
      <c r="J263" s="74" t="str">
        <f t="shared" si="90"/>
        <v/>
      </c>
      <c r="K263" s="74" t="str">
        <f t="shared" si="91"/>
        <v/>
      </c>
      <c r="L263" s="74" t="str">
        <f t="shared" si="86"/>
        <v/>
      </c>
      <c r="M263" s="65" t="str">
        <f t="shared" si="79"/>
        <v/>
      </c>
      <c r="N263" s="65" t="str">
        <f t="shared" si="80"/>
        <v/>
      </c>
      <c r="P263" s="70" t="str">
        <f>IF(A262=$D$8,XIRR(H$24:H262,C$24:C262),"")</f>
        <v/>
      </c>
      <c r="Q263" s="74" t="str">
        <f t="shared" si="78"/>
        <v/>
      </c>
      <c r="R263" s="65">
        <f t="shared" si="75"/>
        <v>0</v>
      </c>
      <c r="S263" s="67" t="e">
        <f t="shared" ca="1" si="76"/>
        <v>#VALUE!</v>
      </c>
      <c r="T263" s="67" t="e">
        <f t="shared" ca="1" si="77"/>
        <v>#VALUE!</v>
      </c>
      <c r="U263" s="67" t="e">
        <f t="shared" ca="1" si="87"/>
        <v>#VALUE!</v>
      </c>
      <c r="V263" s="72" t="e">
        <f t="shared" ca="1" si="88"/>
        <v>#VALUE!</v>
      </c>
      <c r="W263" s="73" t="e">
        <f t="shared" ca="1" si="71"/>
        <v>#VALUE!</v>
      </c>
    </row>
    <row r="264" spans="1:23" x14ac:dyDescent="0.35">
      <c r="A264" s="68" t="str">
        <f t="shared" si="92"/>
        <v/>
      </c>
      <c r="B264" s="64" t="str">
        <f t="shared" si="83"/>
        <v/>
      </c>
      <c r="C264" s="64" t="str">
        <f t="shared" ca="1" si="73"/>
        <v xml:space="preserve"> </v>
      </c>
      <c r="D264" s="68" t="str">
        <f t="shared" si="81"/>
        <v/>
      </c>
      <c r="E264" s="65" t="str">
        <f t="shared" si="82"/>
        <v/>
      </c>
      <c r="F264" s="65" t="str">
        <f>IF(AND(A263="",A265=""),"",IF(A264="",ROUND(SUM($F$25:F263),2),IF(A264=$D$8,$E$24-ROUND(SUM($F$25:F263),2),ROUND($E$24/$D$8,2))))</f>
        <v/>
      </c>
      <c r="G264" s="65" t="str">
        <f>IF(A263=$D$8,ROUND(SUM($G$25:G263),2),IF(A264&gt;$D$8,"",IF(T264&lt;&gt;T263,ROUND(SUM(V264*$D$9*E263/T264,W264*$D$9*E263/T263),2),ROUND(E263*$D$9*D264/T263,2))))</f>
        <v/>
      </c>
      <c r="H264" s="65" t="str">
        <f>IF(A263=$D$8,SUM($H$25:H263),IF(A263&gt;$D$8,"",F264+G264))</f>
        <v/>
      </c>
      <c r="I264" s="74" t="str">
        <f t="shared" si="84"/>
        <v/>
      </c>
      <c r="J264" s="74" t="str">
        <f t="shared" si="90"/>
        <v/>
      </c>
      <c r="K264" s="74" t="str">
        <f t="shared" si="91"/>
        <v/>
      </c>
      <c r="L264" s="74" t="str">
        <f t="shared" si="86"/>
        <v/>
      </c>
      <c r="M264" s="65" t="str">
        <f t="shared" si="79"/>
        <v/>
      </c>
      <c r="N264" s="65" t="str">
        <f t="shared" si="80"/>
        <v/>
      </c>
      <c r="P264" s="70" t="str">
        <f>IF(A263=$D$8,XIRR(H$24:H263,C$24:C263),"")</f>
        <v/>
      </c>
      <c r="Q264" s="74" t="str">
        <f t="shared" si="78"/>
        <v/>
      </c>
      <c r="R264" s="65">
        <f t="shared" si="75"/>
        <v>0</v>
      </c>
      <c r="S264" s="67" t="e">
        <f t="shared" ca="1" si="76"/>
        <v>#VALUE!</v>
      </c>
      <c r="T264" s="67" t="e">
        <f t="shared" ca="1" si="77"/>
        <v>#VALUE!</v>
      </c>
      <c r="U264" s="67" t="e">
        <f t="shared" ca="1" si="87"/>
        <v>#VALUE!</v>
      </c>
      <c r="V264" s="72" t="e">
        <f t="shared" ca="1" si="88"/>
        <v>#VALUE!</v>
      </c>
      <c r="W264" s="73" t="e">
        <f t="shared" ca="1" si="71"/>
        <v>#VALUE!</v>
      </c>
    </row>
    <row r="265" spans="1:23" x14ac:dyDescent="0.35">
      <c r="A265" s="68" t="str">
        <f t="shared" si="92"/>
        <v/>
      </c>
      <c r="B265" s="67"/>
      <c r="C265" s="67"/>
      <c r="D265" s="67"/>
      <c r="E265" s="65" t="str">
        <f t="shared" si="82"/>
        <v/>
      </c>
      <c r="F265" s="65" t="str">
        <f>IF(AND(A264="",A266=""),"",IF(A265="",ROUND(SUM($F$25:F264),2),IF(A265=$D$8,$E$24-ROUND(SUM($F$25:F264),2),ROUND($E$24/$D$8,2))))</f>
        <v/>
      </c>
      <c r="G265" s="65" t="str">
        <f>IF(A264=$D$8,ROUND(SUM($G$25:G264),2),IF(A265&gt;$D$8,"",IF(T265&lt;&gt;T264,ROUND(SUM(V265*$D$9*E264/T265,W265*$D$9*E264/T264),2),ROUND(E264*$D$9*D265/T264,2))))</f>
        <v/>
      </c>
      <c r="H265" s="65" t="str">
        <f>IF(A264=$D$8,SUM($H$25:H264),IF(A264&gt;$D$8,"",F265+G265))</f>
        <v/>
      </c>
      <c r="I265" s="74" t="str">
        <f t="shared" si="84"/>
        <v/>
      </c>
      <c r="J265" s="74" t="str">
        <f>IF($D$8&gt;A264,$N$9,IF($D$8=A264,SUM($J$24:J264)," "))</f>
        <v xml:space="preserve"> </v>
      </c>
      <c r="K265" s="74" t="str">
        <f>IF($D$8&gt;A264,($O$8+$N$10*E264),IF(A264=$D$8,$K$37+$K$24+$K$49+$K$61+$K$73+$K$85+$K$97+$K$109+$K$121+$K$133+$K$145+$K$157+$K$169+$K$181+$K$193+$K$205+$K$217+$K$229+$K$241+K253,""))</f>
        <v/>
      </c>
      <c r="L265" s="74" t="str">
        <f t="shared" si="86"/>
        <v/>
      </c>
      <c r="M265" s="65" t="str">
        <f t="shared" si="79"/>
        <v/>
      </c>
      <c r="N265" s="65" t="str">
        <f t="shared" si="80"/>
        <v/>
      </c>
      <c r="P265" s="70" t="str">
        <f>IF(A264=$D$8,XIRR(R$24:R264,C$24:C264),"")</f>
        <v/>
      </c>
      <c r="Q265" s="74" t="str">
        <f t="shared" si="78"/>
        <v/>
      </c>
      <c r="R265" s="65"/>
      <c r="S265" s="67" t="str">
        <f t="shared" si="76"/>
        <v/>
      </c>
    </row>
    <row r="266" spans="1:23" x14ac:dyDescent="0.35">
      <c r="A266" s="68" t="str">
        <f t="shared" si="92"/>
        <v/>
      </c>
    </row>
    <row r="267" spans="1:23" x14ac:dyDescent="0.35">
      <c r="A267" s="68"/>
    </row>
    <row r="268" spans="1:23" x14ac:dyDescent="0.35">
      <c r="A268" s="68"/>
    </row>
    <row r="269" spans="1:23" x14ac:dyDescent="0.35">
      <c r="A269" s="68"/>
    </row>
    <row r="270" spans="1:23" x14ac:dyDescent="0.35">
      <c r="A270" s="68"/>
    </row>
    <row r="271" spans="1:23" x14ac:dyDescent="0.35">
      <c r="A271" s="68"/>
    </row>
    <row r="272" spans="1:23" x14ac:dyDescent="0.35">
      <c r="A272" s="68"/>
    </row>
    <row r="273" spans="1:1" x14ac:dyDescent="0.35">
      <c r="A273" s="68"/>
    </row>
    <row r="274" spans="1:1" x14ac:dyDescent="0.35">
      <c r="A274" s="68"/>
    </row>
    <row r="275" spans="1:1" x14ac:dyDescent="0.35">
      <c r="A275" s="68"/>
    </row>
    <row r="276" spans="1:1" x14ac:dyDescent="0.35">
      <c r="A276" s="68"/>
    </row>
  </sheetData>
  <protectedRanges>
    <protectedRange password="C797" sqref="D24:H24 E38:E265 D38:D264 A24:B261 B262:B264 A262:A276 D25:E37 F25:H265" name="Диапазон1"/>
    <protectedRange password="C797" sqref="M22:M23 P22:Q23 A22:H23" name="Диапазон1_1"/>
    <protectedRange password="C797" sqref="M24:O24 M25:N265 O25:O120" name="Диапазон1_2"/>
    <protectedRange password="C797" sqref="R24" name="Диапазон1_1_1"/>
    <protectedRange password="C797" sqref="R25:R265" name="Диапазон1_2_1"/>
    <protectedRange password="C797" sqref="C24:C84" name="Диапазон1_3"/>
    <protectedRange password="C797" sqref="C85:C264" name="Диапазон1_4"/>
  </protectedRanges>
  <mergeCells count="43">
    <mergeCell ref="R22:R23"/>
    <mergeCell ref="I22:L22"/>
    <mergeCell ref="N22:N23"/>
    <mergeCell ref="H3:M3"/>
    <mergeCell ref="N3:O3"/>
    <mergeCell ref="H4:M4"/>
    <mergeCell ref="N4:O4"/>
    <mergeCell ref="N5:O5"/>
    <mergeCell ref="I6:O6"/>
    <mergeCell ref="I7:M7"/>
    <mergeCell ref="N7:O7"/>
    <mergeCell ref="I8:M8"/>
    <mergeCell ref="N9:O9"/>
    <mergeCell ref="N12:O12"/>
    <mergeCell ref="N13:O13"/>
    <mergeCell ref="N14:O14"/>
    <mergeCell ref="A22:A23"/>
    <mergeCell ref="P22:P23"/>
    <mergeCell ref="N11:O11"/>
    <mergeCell ref="H6:H11"/>
    <mergeCell ref="A1:Q1"/>
    <mergeCell ref="F22:F23"/>
    <mergeCell ref="O22:O23"/>
    <mergeCell ref="B4:C5"/>
    <mergeCell ref="D4:F5"/>
    <mergeCell ref="B6:C7"/>
    <mergeCell ref="D6:F7"/>
    <mergeCell ref="D11:F11"/>
    <mergeCell ref="B8:C8"/>
    <mergeCell ref="B9:C9"/>
    <mergeCell ref="D3:F3"/>
    <mergeCell ref="D8:F8"/>
    <mergeCell ref="D9:F9"/>
    <mergeCell ref="B3:C3"/>
    <mergeCell ref="Q22:Q23"/>
    <mergeCell ref="M22:M23"/>
    <mergeCell ref="H22:H23"/>
    <mergeCell ref="G22:G23"/>
    <mergeCell ref="B10:C10"/>
    <mergeCell ref="D10:F10"/>
    <mergeCell ref="I10:M10"/>
    <mergeCell ref="E22:E23"/>
    <mergeCell ref="C22:C23"/>
  </mergeCells>
  <dataValidations disablePrompts="1" count="2">
    <dataValidation type="list" allowBlank="1" showInputMessage="1" showErrorMessage="1" sqref="Q8:R8" xr:uid="{00000000-0002-0000-0100-000000000000}">
      <formula1>$T$8:$T$9</formula1>
    </dataValidation>
    <dataValidation type="list" allowBlank="1" showInputMessage="1" showErrorMessage="1" sqref="M12 M9" xr:uid="{00000000-0002-0000-0100-000001000000}">
      <formula1>$Z$7:$Z$8</formula1>
    </dataValidation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ignoredErrors>
    <ignoredError sqref="P9 O8 P7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1"/>
  <sheetViews>
    <sheetView tabSelected="1" topLeftCell="A2" workbookViewId="0">
      <selection activeCell="R53" sqref="R53"/>
    </sheetView>
  </sheetViews>
  <sheetFormatPr defaultRowHeight="14.5" x14ac:dyDescent="0.35"/>
  <cols>
    <col min="2" max="2" width="21.81640625" customWidth="1"/>
    <col min="3" max="3" width="15.26953125" customWidth="1"/>
    <col min="4" max="4" width="17.26953125" customWidth="1"/>
    <col min="5" max="5" width="11.7265625" customWidth="1"/>
    <col min="6" max="6" width="13.7265625" customWidth="1"/>
    <col min="7" max="7" width="15.7265625" customWidth="1"/>
    <col min="8" max="8" width="15.453125" customWidth="1"/>
    <col min="9" max="9" width="11.81640625" customWidth="1"/>
    <col min="10" max="10" width="12.26953125" customWidth="1"/>
    <col min="11" max="11" width="11.1796875" customWidth="1"/>
    <col min="12" max="12" width="16.26953125" customWidth="1"/>
    <col min="13" max="13" width="10.26953125" customWidth="1"/>
    <col min="14" max="14" width="11.7265625" customWidth="1"/>
    <col min="15" max="15" width="13.1796875" customWidth="1"/>
    <col min="16" max="16" width="12" customWidth="1"/>
    <col min="17" max="17" width="11.453125" customWidth="1"/>
    <col min="18" max="18" width="13" customWidth="1"/>
  </cols>
  <sheetData>
    <row r="1" spans="1:18" s="99" customFormat="1" ht="27" hidden="1" customHeight="1" x14ac:dyDescent="0.25">
      <c r="D1" s="114" t="s">
        <v>146</v>
      </c>
    </row>
    <row r="2" spans="1:18" ht="15.75" x14ac:dyDescent="0.25">
      <c r="D2" s="110"/>
    </row>
    <row r="3" spans="1:18" ht="15" x14ac:dyDescent="0.25">
      <c r="D3" s="119"/>
      <c r="E3" s="119"/>
      <c r="F3" s="119"/>
      <c r="G3" s="119"/>
      <c r="H3" s="119"/>
      <c r="I3" s="119"/>
    </row>
    <row r="4" spans="1:18" x14ac:dyDescent="0.35">
      <c r="A4" s="193" t="s">
        <v>105</v>
      </c>
      <c r="B4" s="193"/>
      <c r="C4" s="115">
        <f ca="1">TODAY()</f>
        <v>45602</v>
      </c>
      <c r="D4" s="119"/>
      <c r="E4" s="194"/>
      <c r="F4" s="194"/>
      <c r="G4" s="120"/>
      <c r="H4" s="119"/>
      <c r="I4" s="119"/>
    </row>
    <row r="5" spans="1:18" ht="27.75" customHeight="1" x14ac:dyDescent="0.35">
      <c r="A5" s="197" t="s">
        <v>40</v>
      </c>
      <c r="B5" s="198"/>
      <c r="C5" s="116">
        <v>250000</v>
      </c>
      <c r="D5" s="125" t="str">
        <f>IF(C5&lt;5000,"Мін. сума кредиту - 5 тис грн",IF(C5&gt;500000,"Максимальна сума кредиту 500000 грн"," "))</f>
        <v xml:space="preserve"> </v>
      </c>
      <c r="E5" s="194"/>
      <c r="F5" s="194"/>
      <c r="G5" s="120"/>
      <c r="H5" s="119"/>
      <c r="I5" s="119"/>
    </row>
    <row r="6" spans="1:18" x14ac:dyDescent="0.35">
      <c r="A6" s="193" t="s">
        <v>39</v>
      </c>
      <c r="B6" s="193"/>
      <c r="C6" s="117">
        <v>36</v>
      </c>
      <c r="D6" s="121"/>
      <c r="E6" s="194"/>
      <c r="F6" s="194"/>
      <c r="G6" s="122"/>
      <c r="H6" s="119"/>
      <c r="I6" s="119"/>
    </row>
    <row r="7" spans="1:18" x14ac:dyDescent="0.35">
      <c r="A7" s="193" t="s">
        <v>38</v>
      </c>
      <c r="B7" s="193"/>
      <c r="C7" s="118">
        <v>0.25</v>
      </c>
      <c r="D7" s="119"/>
      <c r="E7" s="194"/>
      <c r="F7" s="194"/>
      <c r="G7" s="122"/>
      <c r="H7" s="119"/>
      <c r="I7" s="119"/>
    </row>
    <row r="8" spans="1:18" ht="26" customHeight="1" x14ac:dyDescent="0.35">
      <c r="A8" s="195" t="s">
        <v>153</v>
      </c>
      <c r="B8" s="196"/>
      <c r="C8" s="118">
        <v>5.0000000000000001E-3</v>
      </c>
      <c r="D8" s="119"/>
      <c r="E8" s="194"/>
      <c r="F8" s="194"/>
      <c r="G8" s="120"/>
      <c r="H8" s="119"/>
      <c r="I8" s="119"/>
    </row>
    <row r="9" spans="1:18" x14ac:dyDescent="0.35">
      <c r="A9" s="193" t="s">
        <v>154</v>
      </c>
      <c r="B9" s="193"/>
      <c r="C9" s="118">
        <v>2.5000000000000001E-2</v>
      </c>
      <c r="D9" s="119"/>
      <c r="E9" s="119"/>
      <c r="F9" s="119"/>
      <c r="G9" s="119"/>
      <c r="H9" s="119"/>
      <c r="I9" s="119"/>
    </row>
    <row r="11" spans="1:18" x14ac:dyDescent="0.35">
      <c r="A11" s="192" t="s">
        <v>123</v>
      </c>
      <c r="B11" s="192" t="s">
        <v>124</v>
      </c>
      <c r="C11" s="192" t="s">
        <v>125</v>
      </c>
      <c r="D11" s="192" t="s">
        <v>126</v>
      </c>
      <c r="E11" s="192" t="s">
        <v>127</v>
      </c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 t="s">
        <v>61</v>
      </c>
      <c r="R11" s="192" t="s">
        <v>54</v>
      </c>
    </row>
    <row r="12" spans="1:18" ht="15.75" customHeight="1" x14ac:dyDescent="0.35">
      <c r="A12" s="192"/>
      <c r="B12" s="192"/>
      <c r="C12" s="192"/>
      <c r="D12" s="192"/>
      <c r="E12" s="192" t="s">
        <v>128</v>
      </c>
      <c r="F12" s="192" t="s">
        <v>129</v>
      </c>
      <c r="G12" s="192" t="s">
        <v>130</v>
      </c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</row>
    <row r="13" spans="1:18" ht="23.25" customHeight="1" x14ac:dyDescent="0.35">
      <c r="A13" s="192"/>
      <c r="B13" s="192"/>
      <c r="C13" s="192"/>
      <c r="D13" s="192"/>
      <c r="E13" s="192"/>
      <c r="F13" s="192"/>
      <c r="G13" s="192" t="s">
        <v>131</v>
      </c>
      <c r="H13" s="192"/>
      <c r="I13" s="192"/>
      <c r="J13" s="192"/>
      <c r="K13" s="192" t="s">
        <v>141</v>
      </c>
      <c r="L13" s="192"/>
      <c r="M13" s="192" t="s">
        <v>132</v>
      </c>
      <c r="N13" s="192"/>
      <c r="O13" s="192"/>
      <c r="P13" s="192"/>
      <c r="Q13" s="192"/>
      <c r="R13" s="192"/>
    </row>
    <row r="14" spans="1:18" ht="56" x14ac:dyDescent="0.35">
      <c r="A14" s="192"/>
      <c r="B14" s="192"/>
      <c r="C14" s="192"/>
      <c r="D14" s="192"/>
      <c r="E14" s="192"/>
      <c r="F14" s="192"/>
      <c r="G14" s="100" t="s">
        <v>133</v>
      </c>
      <c r="H14" s="100" t="s">
        <v>134</v>
      </c>
      <c r="I14" s="100" t="s">
        <v>135</v>
      </c>
      <c r="J14" s="100" t="s">
        <v>143</v>
      </c>
      <c r="K14" s="100" t="s">
        <v>136</v>
      </c>
      <c r="L14" s="100" t="s">
        <v>140</v>
      </c>
      <c r="M14" s="100" t="s">
        <v>137</v>
      </c>
      <c r="N14" s="100" t="s">
        <v>138</v>
      </c>
      <c r="O14" s="100" t="s">
        <v>139</v>
      </c>
      <c r="P14" s="100" t="s">
        <v>142</v>
      </c>
      <c r="Q14" s="192"/>
      <c r="R14" s="192"/>
    </row>
    <row r="15" spans="1:18" x14ac:dyDescent="0.35">
      <c r="A15" s="100">
        <v>1</v>
      </c>
      <c r="B15" s="100">
        <v>2</v>
      </c>
      <c r="C15" s="100">
        <v>3</v>
      </c>
      <c r="D15" s="100">
        <v>4</v>
      </c>
      <c r="E15" s="100">
        <v>5</v>
      </c>
      <c r="F15" s="100">
        <v>6</v>
      </c>
      <c r="G15" s="100">
        <v>7</v>
      </c>
      <c r="H15" s="100">
        <v>8</v>
      </c>
      <c r="I15" s="100">
        <v>9</v>
      </c>
      <c r="J15" s="100">
        <v>10</v>
      </c>
      <c r="K15" s="100">
        <v>11</v>
      </c>
      <c r="L15" s="100">
        <v>12</v>
      </c>
      <c r="M15" s="100">
        <v>13</v>
      </c>
      <c r="N15" s="100">
        <v>14</v>
      </c>
      <c r="O15" s="100">
        <v>15</v>
      </c>
      <c r="P15" s="100">
        <v>16</v>
      </c>
      <c r="Q15" s="100">
        <v>17</v>
      </c>
      <c r="R15" s="100">
        <v>18</v>
      </c>
    </row>
    <row r="16" spans="1:18" s="99" customFormat="1" x14ac:dyDescent="0.35">
      <c r="A16" s="112">
        <f>' '!A24</f>
        <v>0</v>
      </c>
      <c r="B16" s="101"/>
      <c r="C16" s="101"/>
      <c r="D16" s="104">
        <f>' '!H24</f>
        <v>-243750</v>
      </c>
      <c r="E16" s="101"/>
      <c r="F16" s="101"/>
      <c r="G16" s="101"/>
      <c r="H16" s="101"/>
      <c r="I16" s="104">
        <f>' '!M24</f>
        <v>6250</v>
      </c>
      <c r="J16" s="101"/>
      <c r="K16" s="101"/>
      <c r="L16" s="101"/>
      <c r="M16" s="104">
        <f>' '!I24</f>
        <v>0</v>
      </c>
      <c r="N16" s="104">
        <f>' '!J24</f>
        <v>0</v>
      </c>
      <c r="O16" s="104">
        <f>' '!K24</f>
        <v>0</v>
      </c>
      <c r="P16" s="101"/>
      <c r="Q16" s="109" t="str">
        <f>' '!P24</f>
        <v xml:space="preserve"> </v>
      </c>
      <c r="R16" s="104" t="str">
        <f>' '!Q24</f>
        <v xml:space="preserve"> </v>
      </c>
    </row>
    <row r="17" spans="1:19" x14ac:dyDescent="0.35">
      <c r="A17" s="111">
        <f>' '!A25</f>
        <v>1</v>
      </c>
      <c r="B17" s="113">
        <f ca="1">' '!C25</f>
        <v>45636</v>
      </c>
      <c r="C17" s="111">
        <f ca="1">' '!D25</f>
        <v>30</v>
      </c>
      <c r="D17" s="103">
        <f ca="1">' '!H25</f>
        <v>11189.95647531388</v>
      </c>
      <c r="E17" s="103">
        <f ca="1">' '!F25</f>
        <v>4817.0064753138804</v>
      </c>
      <c r="F17" s="104">
        <f ca="1">' '!G25</f>
        <v>5122.95</v>
      </c>
      <c r="G17" s="103">
        <f>' '!O25</f>
        <v>1250</v>
      </c>
      <c r="H17" s="102"/>
      <c r="I17" s="108" t="str">
        <f>' '!M25</f>
        <v xml:space="preserve"> </v>
      </c>
      <c r="J17" s="102"/>
      <c r="K17" s="102"/>
      <c r="L17" s="102"/>
      <c r="M17" s="107" t="str">
        <f>' '!I25</f>
        <v xml:space="preserve"> </v>
      </c>
      <c r="N17" s="107" t="str">
        <f>' '!J25</f>
        <v xml:space="preserve"> </v>
      </c>
      <c r="O17" s="104" t="str">
        <f>' '!K25</f>
        <v xml:space="preserve"> </v>
      </c>
      <c r="P17" s="102"/>
      <c r="Q17" s="109" t="str">
        <f>' '!P25</f>
        <v/>
      </c>
      <c r="R17" s="104" t="str">
        <f>' '!Q25</f>
        <v xml:space="preserve"> </v>
      </c>
    </row>
    <row r="18" spans="1:19" x14ac:dyDescent="0.35">
      <c r="A18" s="111">
        <f>' '!A26</f>
        <v>2</v>
      </c>
      <c r="B18" s="113">
        <f ca="1">' '!C26</f>
        <v>45667</v>
      </c>
      <c r="C18" s="111">
        <f ca="1">' '!D26</f>
        <v>31</v>
      </c>
      <c r="D18" s="103">
        <f ca="1">' '!H26</f>
        <v>11189.95647531388</v>
      </c>
      <c r="E18" s="103">
        <f ca="1">' '!F26</f>
        <v>4744.1064753138799</v>
      </c>
      <c r="F18" s="104">
        <f ca="1">' '!G26</f>
        <v>5195.8500000000004</v>
      </c>
      <c r="G18" s="103">
        <f>' '!O26</f>
        <v>1250</v>
      </c>
      <c r="H18" s="102"/>
      <c r="I18" s="108" t="str">
        <f>' '!M26</f>
        <v xml:space="preserve"> </v>
      </c>
      <c r="J18" s="102"/>
      <c r="K18" s="102"/>
      <c r="L18" s="102"/>
      <c r="M18" s="107" t="str">
        <f>' '!I26</f>
        <v xml:space="preserve"> </v>
      </c>
      <c r="N18" s="107">
        <f>' '!J26</f>
        <v>0</v>
      </c>
      <c r="O18" s="104" t="str">
        <f>' '!K26</f>
        <v xml:space="preserve"> </v>
      </c>
      <c r="P18" s="102"/>
      <c r="Q18" s="109" t="str">
        <f>' '!P26</f>
        <v/>
      </c>
      <c r="R18" s="104" t="str">
        <f>' '!Q26</f>
        <v xml:space="preserve"> </v>
      </c>
    </row>
    <row r="19" spans="1:19" x14ac:dyDescent="0.35">
      <c r="A19" s="111">
        <f>' '!A27</f>
        <v>3</v>
      </c>
      <c r="B19" s="113">
        <f ca="1">' '!C27</f>
        <v>45698</v>
      </c>
      <c r="C19" s="111">
        <f ca="1">' '!D27</f>
        <v>31</v>
      </c>
      <c r="D19" s="103">
        <f ca="1">' '!H27</f>
        <v>11189.95647531388</v>
      </c>
      <c r="E19" s="103">
        <f ca="1">' '!F27</f>
        <v>4834.7464753138802</v>
      </c>
      <c r="F19" s="104">
        <f ca="1">' '!G27</f>
        <v>5105.21</v>
      </c>
      <c r="G19" s="103">
        <f>' '!O27</f>
        <v>1250</v>
      </c>
      <c r="H19" s="102"/>
      <c r="I19" s="108" t="str">
        <f>' '!M27</f>
        <v xml:space="preserve"> </v>
      </c>
      <c r="J19" s="102"/>
      <c r="K19" s="102"/>
      <c r="L19" s="102"/>
      <c r="M19" s="107" t="str">
        <f>' '!I27</f>
        <v xml:space="preserve"> </v>
      </c>
      <c r="N19" s="107">
        <f>' '!J27</f>
        <v>0</v>
      </c>
      <c r="O19" s="104" t="str">
        <f>' '!K27</f>
        <v xml:space="preserve"> </v>
      </c>
      <c r="P19" s="102"/>
      <c r="Q19" s="109" t="str">
        <f>' '!P27</f>
        <v/>
      </c>
      <c r="R19" s="104" t="str">
        <f>' '!Q27</f>
        <v/>
      </c>
    </row>
    <row r="20" spans="1:19" x14ac:dyDescent="0.35">
      <c r="A20" s="111">
        <f>' '!A28</f>
        <v>4</v>
      </c>
      <c r="B20" s="113">
        <f ca="1">' '!C28</f>
        <v>45726</v>
      </c>
      <c r="C20" s="111">
        <f ca="1">' '!D28</f>
        <v>28</v>
      </c>
      <c r="D20" s="103">
        <f ca="1">' '!H28</f>
        <v>11189.95647531388</v>
      </c>
      <c r="E20" s="103">
        <f ca="1">' '!F28</f>
        <v>5421.5164753138806</v>
      </c>
      <c r="F20" s="104">
        <f ca="1">' '!G28</f>
        <v>4518.4399999999996</v>
      </c>
      <c r="G20" s="103">
        <f>' '!O28</f>
        <v>1250</v>
      </c>
      <c r="H20" s="102"/>
      <c r="I20" s="108" t="str">
        <f>' '!M28</f>
        <v xml:space="preserve"> </v>
      </c>
      <c r="J20" s="102"/>
      <c r="K20" s="102"/>
      <c r="L20" s="102"/>
      <c r="M20" s="107" t="str">
        <f>' '!I28</f>
        <v xml:space="preserve"> </v>
      </c>
      <c r="N20" s="107">
        <f>' '!J28</f>
        <v>0</v>
      </c>
      <c r="O20" s="104" t="str">
        <f>' '!K28</f>
        <v xml:space="preserve"> </v>
      </c>
      <c r="P20" s="102"/>
      <c r="Q20" s="109" t="str">
        <f>' '!P28</f>
        <v/>
      </c>
      <c r="R20" s="104" t="str">
        <f>' '!Q28</f>
        <v/>
      </c>
    </row>
    <row r="21" spans="1:19" x14ac:dyDescent="0.35">
      <c r="A21" s="111">
        <f>' '!A29</f>
        <v>5</v>
      </c>
      <c r="B21" s="113">
        <f ca="1">' '!C29</f>
        <v>45757</v>
      </c>
      <c r="C21" s="111">
        <f ca="1">' '!D29</f>
        <v>31</v>
      </c>
      <c r="D21" s="103">
        <f ca="1">' '!H29</f>
        <v>11189.95647531388</v>
      </c>
      <c r="E21" s="103">
        <f ca="1">' '!F29</f>
        <v>5052.5164753138806</v>
      </c>
      <c r="F21" s="104">
        <f ca="1">' '!G29</f>
        <v>4887.4399999999996</v>
      </c>
      <c r="G21" s="103">
        <f>' '!O29</f>
        <v>1250</v>
      </c>
      <c r="H21" s="102"/>
      <c r="I21" s="108" t="str">
        <f>' '!M29</f>
        <v xml:space="preserve"> </v>
      </c>
      <c r="J21" s="102"/>
      <c r="K21" s="102"/>
      <c r="L21" s="102"/>
      <c r="M21" s="104" t="str">
        <f>' '!I29</f>
        <v/>
      </c>
      <c r="N21" s="104" t="str">
        <f>' '!J29</f>
        <v/>
      </c>
      <c r="O21" s="104" t="str">
        <f>' '!K29</f>
        <v xml:space="preserve"> </v>
      </c>
      <c r="P21" s="102"/>
      <c r="Q21" s="109" t="str">
        <f>' '!P29</f>
        <v/>
      </c>
      <c r="R21" s="104" t="str">
        <f>' '!Q29</f>
        <v/>
      </c>
    </row>
    <row r="22" spans="1:19" x14ac:dyDescent="0.35">
      <c r="A22" s="111">
        <f>' '!A30</f>
        <v>6</v>
      </c>
      <c r="B22" s="113">
        <f ca="1">' '!C30</f>
        <v>45787</v>
      </c>
      <c r="C22" s="111">
        <f ca="1">' '!D30</f>
        <v>30</v>
      </c>
      <c r="D22" s="103">
        <f ca="1">' '!H30</f>
        <v>11189.95647531388</v>
      </c>
      <c r="E22" s="103">
        <f ca="1">' '!F30</f>
        <v>5313.9964753138802</v>
      </c>
      <c r="F22" s="104">
        <f ca="1">' '!G30</f>
        <v>4625.96</v>
      </c>
      <c r="G22" s="103">
        <f>' '!O30</f>
        <v>1250</v>
      </c>
      <c r="H22" s="102"/>
      <c r="I22" s="108" t="str">
        <f>' '!M30</f>
        <v/>
      </c>
      <c r="J22" s="102"/>
      <c r="K22" s="102"/>
      <c r="L22" s="102"/>
      <c r="M22" s="104" t="str">
        <f>' '!I30</f>
        <v/>
      </c>
      <c r="N22" s="104" t="str">
        <f>' '!J30</f>
        <v/>
      </c>
      <c r="O22" s="104" t="str">
        <f>' '!K30</f>
        <v xml:space="preserve"> </v>
      </c>
      <c r="P22" s="102"/>
      <c r="Q22" s="109" t="str">
        <f>' '!P30</f>
        <v/>
      </c>
      <c r="R22" s="104" t="str">
        <f>' '!Q30</f>
        <v/>
      </c>
    </row>
    <row r="23" spans="1:19" x14ac:dyDescent="0.35">
      <c r="A23" s="111">
        <f>' '!A31</f>
        <v>7</v>
      </c>
      <c r="B23" s="113">
        <f ca="1">' '!C31</f>
        <v>45818</v>
      </c>
      <c r="C23" s="111">
        <f ca="1">' '!D31</f>
        <v>31</v>
      </c>
      <c r="D23" s="103">
        <f ca="1">' '!H31</f>
        <v>11189.95647531388</v>
      </c>
      <c r="E23" s="103">
        <f ca="1">' '!F31</f>
        <v>5272.6264753138803</v>
      </c>
      <c r="F23" s="104">
        <f ca="1">' '!G31</f>
        <v>4667.33</v>
      </c>
      <c r="G23" s="103">
        <f>' '!O31</f>
        <v>1250</v>
      </c>
      <c r="H23" s="102"/>
      <c r="I23" s="104" t="str">
        <f>' '!M31</f>
        <v/>
      </c>
      <c r="J23" s="102"/>
      <c r="K23" s="102"/>
      <c r="L23" s="102"/>
      <c r="M23" s="104" t="str">
        <f>' '!I31</f>
        <v/>
      </c>
      <c r="N23" s="104" t="str">
        <f>' '!J31</f>
        <v/>
      </c>
      <c r="O23" s="104" t="str">
        <f>' '!K31</f>
        <v xml:space="preserve"> </v>
      </c>
      <c r="P23" s="102"/>
      <c r="Q23" s="109" t="str">
        <f>' '!P31</f>
        <v/>
      </c>
      <c r="R23" s="104" t="str">
        <f>' '!Q31</f>
        <v/>
      </c>
    </row>
    <row r="24" spans="1:19" x14ac:dyDescent="0.35">
      <c r="A24" s="111">
        <f>' '!A32</f>
        <v>8</v>
      </c>
      <c r="B24" s="113">
        <f ca="1">' '!C32</f>
        <v>45848</v>
      </c>
      <c r="C24" s="111">
        <f ca="1">' '!D32</f>
        <v>30</v>
      </c>
      <c r="D24" s="103">
        <f ca="1">' '!H32</f>
        <v>11189.95647531388</v>
      </c>
      <c r="E24" s="103">
        <f ca="1">' '!F32</f>
        <v>5531.5264753138799</v>
      </c>
      <c r="F24" s="104">
        <f ca="1">' '!G32</f>
        <v>4408.43</v>
      </c>
      <c r="G24" s="103">
        <f>' '!O32</f>
        <v>1250</v>
      </c>
      <c r="H24" s="17"/>
      <c r="I24" s="104" t="str">
        <f>' '!M32</f>
        <v/>
      </c>
      <c r="J24" s="17"/>
      <c r="K24" s="17"/>
      <c r="L24" s="17"/>
      <c r="M24" s="104" t="str">
        <f>' '!I32</f>
        <v/>
      </c>
      <c r="N24" s="104" t="str">
        <f>' '!J32</f>
        <v/>
      </c>
      <c r="O24" s="104" t="str">
        <f>' '!K32</f>
        <v xml:space="preserve"> </v>
      </c>
      <c r="P24" s="17"/>
      <c r="Q24" s="109" t="str">
        <f>' '!P32</f>
        <v/>
      </c>
      <c r="R24" s="104" t="str">
        <f>' '!Q32</f>
        <v/>
      </c>
    </row>
    <row r="25" spans="1:19" x14ac:dyDescent="0.35">
      <c r="A25" s="111">
        <f>' '!A33</f>
        <v>9</v>
      </c>
      <c r="B25" s="113">
        <f ca="1">' '!C33</f>
        <v>45879</v>
      </c>
      <c r="C25" s="111">
        <f ca="1">' '!D33</f>
        <v>31</v>
      </c>
      <c r="D25" s="103">
        <f ca="1">' '!H33</f>
        <v>11189.95647531388</v>
      </c>
      <c r="E25" s="103">
        <f ca="1">' '!F33</f>
        <v>5502.0264753138799</v>
      </c>
      <c r="F25" s="104">
        <f ca="1">' '!G33</f>
        <v>4437.93</v>
      </c>
      <c r="G25" s="103">
        <f>' '!O33</f>
        <v>1250</v>
      </c>
      <c r="I25" s="104" t="str">
        <f>' '!M33</f>
        <v/>
      </c>
      <c r="M25" s="104" t="str">
        <f>' '!I33</f>
        <v/>
      </c>
      <c r="N25" s="104" t="str">
        <f>' '!J33</f>
        <v/>
      </c>
      <c r="O25" s="104" t="str">
        <f>' '!K33</f>
        <v xml:space="preserve"> </v>
      </c>
      <c r="Q25" s="109" t="str">
        <f>' '!P33</f>
        <v/>
      </c>
      <c r="R25" s="104" t="str">
        <f>' '!Q33</f>
        <v/>
      </c>
    </row>
    <row r="26" spans="1:19" x14ac:dyDescent="0.35">
      <c r="A26" s="111">
        <f>' '!A34</f>
        <v>10</v>
      </c>
      <c r="B26" s="113">
        <f ca="1">' '!C34</f>
        <v>45910</v>
      </c>
      <c r="C26" s="111">
        <f ca="1">' '!D34</f>
        <v>31</v>
      </c>
      <c r="D26" s="103">
        <f ca="1">' '!H34</f>
        <v>11189.95647531388</v>
      </c>
      <c r="E26" s="103">
        <f ca="1">' '!F34</f>
        <v>5618.8564753138799</v>
      </c>
      <c r="F26" s="104">
        <f ca="1">' '!G34</f>
        <v>4321.1000000000004</v>
      </c>
      <c r="G26" s="103">
        <f>' '!O34</f>
        <v>1250</v>
      </c>
      <c r="I26" s="104" t="str">
        <f>' '!M34</f>
        <v/>
      </c>
      <c r="M26" s="104" t="str">
        <f>' '!I34</f>
        <v/>
      </c>
      <c r="N26" s="104" t="str">
        <f>' '!J34</f>
        <v/>
      </c>
      <c r="O26" s="104" t="str">
        <f>' '!K34</f>
        <v xml:space="preserve"> </v>
      </c>
      <c r="Q26" s="109" t="str">
        <f>' '!P34</f>
        <v/>
      </c>
      <c r="R26" s="104" t="str">
        <f>' '!Q34</f>
        <v/>
      </c>
    </row>
    <row r="27" spans="1:19" x14ac:dyDescent="0.35">
      <c r="A27" s="111">
        <f>' '!A35</f>
        <v>11</v>
      </c>
      <c r="B27" s="113">
        <f ca="1">' '!C35</f>
        <v>45940</v>
      </c>
      <c r="C27" s="111">
        <f ca="1">' '!D35</f>
        <v>30</v>
      </c>
      <c r="D27" s="103">
        <f ca="1">' '!H35</f>
        <v>11189.95647531388</v>
      </c>
      <c r="E27" s="103">
        <f ca="1">' '!F35</f>
        <v>5873.7064753138802</v>
      </c>
      <c r="F27" s="104">
        <f ca="1">' '!G35</f>
        <v>4066.25</v>
      </c>
      <c r="G27" s="103">
        <f>' '!O35</f>
        <v>1250</v>
      </c>
      <c r="I27" s="104" t="str">
        <f>' '!M35</f>
        <v/>
      </c>
      <c r="M27" s="104" t="str">
        <f>' '!I35</f>
        <v/>
      </c>
      <c r="N27" s="104" t="str">
        <f>' '!J35</f>
        <v/>
      </c>
      <c r="O27" s="104" t="str">
        <f>' '!K35</f>
        <v xml:space="preserve"> </v>
      </c>
      <c r="Q27" s="109" t="str">
        <f>' '!P35</f>
        <v/>
      </c>
      <c r="R27" s="104" t="str">
        <f>' '!Q35</f>
        <v/>
      </c>
    </row>
    <row r="28" spans="1:19" x14ac:dyDescent="0.35">
      <c r="A28" s="111">
        <f>' '!A36</f>
        <v>12</v>
      </c>
      <c r="B28" s="113">
        <f ca="1">' '!C36</f>
        <v>45971</v>
      </c>
      <c r="C28" s="111">
        <f ca="1">' '!D36</f>
        <v>31</v>
      </c>
      <c r="D28" s="103">
        <f ca="1">' '!H36</f>
        <v>11189.95647531388</v>
      </c>
      <c r="E28" s="103">
        <f ca="1">' '!F36</f>
        <v>5862.8764753138803</v>
      </c>
      <c r="F28" s="104">
        <f ca="1">' '!G36</f>
        <v>4077.08</v>
      </c>
      <c r="G28" s="103">
        <f>' '!O36</f>
        <v>1250</v>
      </c>
      <c r="I28" s="104" t="str">
        <f>' '!M36</f>
        <v/>
      </c>
      <c r="M28" s="104" t="str">
        <f>' '!I36</f>
        <v/>
      </c>
      <c r="N28" s="104" t="str">
        <f>' '!J36</f>
        <v/>
      </c>
      <c r="O28" s="104" t="str">
        <f>' '!K36</f>
        <v xml:space="preserve"> </v>
      </c>
      <c r="Q28" s="109" t="str">
        <f>' '!P36</f>
        <v/>
      </c>
      <c r="R28" s="104" t="str">
        <f>' '!Q36</f>
        <v/>
      </c>
    </row>
    <row r="29" spans="1:19" x14ac:dyDescent="0.35">
      <c r="A29" s="111">
        <f>' '!A37</f>
        <v>13</v>
      </c>
      <c r="B29" s="113">
        <f ca="1">' '!C37</f>
        <v>46001</v>
      </c>
      <c r="C29" s="111">
        <f ca="1">' '!D37</f>
        <v>30</v>
      </c>
      <c r="D29" s="103">
        <f ca="1">' '!H37</f>
        <v>11189.95647531388</v>
      </c>
      <c r="E29" s="103">
        <f ca="1">' '!F37</f>
        <v>6114.8664753138801</v>
      </c>
      <c r="F29" s="104">
        <f ca="1">' '!G37</f>
        <v>3825.09</v>
      </c>
      <c r="G29" s="103">
        <f>' '!O37</f>
        <v>1250</v>
      </c>
      <c r="I29" s="104" t="str">
        <f>' '!M37</f>
        <v/>
      </c>
      <c r="M29" s="104" t="str">
        <f>' '!I37</f>
        <v/>
      </c>
      <c r="N29" s="104">
        <f>' '!J37</f>
        <v>0</v>
      </c>
      <c r="O29" s="104">
        <f ca="1">' '!K37</f>
        <v>0</v>
      </c>
      <c r="Q29" s="123" t="str">
        <f>' '!P37</f>
        <v/>
      </c>
      <c r="R29" s="104" t="str">
        <f>' '!Q37</f>
        <v/>
      </c>
      <c r="S29" s="124"/>
    </row>
    <row r="30" spans="1:19" x14ac:dyDescent="0.35">
      <c r="A30" s="111">
        <f>' '!A38</f>
        <v>14</v>
      </c>
      <c r="B30" s="113">
        <f ca="1">' '!C38</f>
        <v>46032</v>
      </c>
      <c r="C30" s="111">
        <f ca="1">' '!D38</f>
        <v>31</v>
      </c>
      <c r="D30" s="103">
        <f ca="1">' '!H38</f>
        <v>11189.95647531388</v>
      </c>
      <c r="E30" s="103">
        <f ca="1">' '!F38</f>
        <v>6117.19647531388</v>
      </c>
      <c r="F30" s="104">
        <f ca="1">' '!G38</f>
        <v>3822.76</v>
      </c>
      <c r="G30" s="103">
        <f>' '!O38</f>
        <v>1250</v>
      </c>
      <c r="I30" s="104" t="str">
        <f>' '!M38</f>
        <v/>
      </c>
      <c r="M30" s="104" t="str">
        <f>' '!I38</f>
        <v/>
      </c>
      <c r="N30" s="104" t="str">
        <f>' '!J38</f>
        <v/>
      </c>
      <c r="O30" s="104" t="str">
        <f>' '!K38</f>
        <v xml:space="preserve"> </v>
      </c>
      <c r="Q30" s="109" t="str">
        <f>' '!P38</f>
        <v/>
      </c>
      <c r="R30" s="104" t="str">
        <f>' '!Q38</f>
        <v/>
      </c>
    </row>
    <row r="31" spans="1:19" x14ac:dyDescent="0.35">
      <c r="A31" s="111">
        <f>' '!A39</f>
        <v>15</v>
      </c>
      <c r="B31" s="113">
        <f ca="1">' '!C39</f>
        <v>46063</v>
      </c>
      <c r="C31" s="111">
        <f ca="1">' '!D39</f>
        <v>31</v>
      </c>
      <c r="D31" s="103">
        <f ca="1">' '!H39</f>
        <v>11189.95647531388</v>
      </c>
      <c r="E31" s="103">
        <f ca="1">' '!F39</f>
        <v>6247.0864753138803</v>
      </c>
      <c r="F31" s="104">
        <f ca="1">' '!G39</f>
        <v>3692.87</v>
      </c>
      <c r="G31" s="103">
        <f>' '!O39</f>
        <v>1250</v>
      </c>
      <c r="I31" s="104" t="str">
        <f>' '!M39</f>
        <v/>
      </c>
      <c r="M31" s="104" t="str">
        <f>' '!I39</f>
        <v/>
      </c>
      <c r="N31" s="104" t="str">
        <f>' '!J39</f>
        <v/>
      </c>
      <c r="O31" s="104" t="str">
        <f>' '!K39</f>
        <v xml:space="preserve"> </v>
      </c>
      <c r="Q31" s="109" t="str">
        <f>' '!P39</f>
        <v/>
      </c>
      <c r="R31" s="104" t="str">
        <f>' '!Q39</f>
        <v/>
      </c>
    </row>
    <row r="32" spans="1:19" x14ac:dyDescent="0.35">
      <c r="A32" s="111">
        <f>' '!A40</f>
        <v>16</v>
      </c>
      <c r="B32" s="113">
        <f ca="1">' '!C40</f>
        <v>46091</v>
      </c>
      <c r="C32" s="111">
        <f ca="1">' '!D40</f>
        <v>28</v>
      </c>
      <c r="D32" s="103">
        <f ca="1">' '!H40</f>
        <v>11189.95647531388</v>
      </c>
      <c r="E32" s="103">
        <f ca="1">' '!F40</f>
        <v>6724.2664753138797</v>
      </c>
      <c r="F32" s="104">
        <f ca="1">' '!G40</f>
        <v>3215.69</v>
      </c>
      <c r="G32" s="103">
        <f>' '!O40</f>
        <v>1250</v>
      </c>
      <c r="I32" s="104" t="str">
        <f>' '!M40</f>
        <v/>
      </c>
      <c r="M32" s="104" t="str">
        <f>' '!I40</f>
        <v/>
      </c>
      <c r="N32" s="104" t="str">
        <f>' '!J40</f>
        <v/>
      </c>
      <c r="O32" s="104" t="str">
        <f>' '!K40</f>
        <v xml:space="preserve"> </v>
      </c>
      <c r="Q32" s="109" t="str">
        <f>' '!P40</f>
        <v/>
      </c>
      <c r="R32" s="104" t="str">
        <f>' '!Q40</f>
        <v/>
      </c>
    </row>
    <row r="33" spans="1:18" x14ac:dyDescent="0.35">
      <c r="A33" s="111">
        <f>' '!A41</f>
        <v>17</v>
      </c>
      <c r="B33" s="113">
        <f ca="1">' '!C41</f>
        <v>46122</v>
      </c>
      <c r="C33" s="111">
        <f ca="1">' '!D41</f>
        <v>31</v>
      </c>
      <c r="D33" s="103">
        <f ca="1">' '!H41</f>
        <v>11189.95647531388</v>
      </c>
      <c r="E33" s="103">
        <f ca="1">' '!F41</f>
        <v>6522.5064753138804</v>
      </c>
      <c r="F33" s="104">
        <f ca="1">' '!G41</f>
        <v>3417.45</v>
      </c>
      <c r="G33" s="103">
        <f>' '!O41</f>
        <v>1250</v>
      </c>
      <c r="I33" s="104" t="str">
        <f>' '!M41</f>
        <v/>
      </c>
      <c r="M33" s="104" t="str">
        <f>' '!I41</f>
        <v/>
      </c>
      <c r="N33" s="104" t="str">
        <f>' '!J41</f>
        <v/>
      </c>
      <c r="O33" s="104" t="str">
        <f>' '!K41</f>
        <v xml:space="preserve"> </v>
      </c>
      <c r="Q33" s="109" t="str">
        <f>' '!P41</f>
        <v/>
      </c>
      <c r="R33" s="104" t="str">
        <f>' '!Q41</f>
        <v/>
      </c>
    </row>
    <row r="34" spans="1:18" x14ac:dyDescent="0.35">
      <c r="A34" s="111">
        <f>' '!A42</f>
        <v>18</v>
      </c>
      <c r="B34" s="113">
        <f ca="1">' '!C42</f>
        <v>46152</v>
      </c>
      <c r="C34" s="111">
        <f ca="1">' '!D42</f>
        <v>30</v>
      </c>
      <c r="D34" s="103">
        <f ca="1">' '!H42</f>
        <v>11189.95647531388</v>
      </c>
      <c r="E34" s="103">
        <f ca="1">' '!F42</f>
        <v>6766.7664753138797</v>
      </c>
      <c r="F34" s="104">
        <f ca="1">' '!G42</f>
        <v>3173.19</v>
      </c>
      <c r="G34" s="103">
        <f>' '!O42</f>
        <v>1250</v>
      </c>
      <c r="I34" s="104" t="str">
        <f>' '!M42</f>
        <v/>
      </c>
      <c r="M34" s="104" t="str">
        <f>' '!I42</f>
        <v/>
      </c>
      <c r="N34" s="104" t="str">
        <f>' '!J42</f>
        <v/>
      </c>
      <c r="O34" s="104" t="str">
        <f>' '!K42</f>
        <v xml:space="preserve"> </v>
      </c>
      <c r="Q34" s="109" t="str">
        <f>' '!P42</f>
        <v/>
      </c>
      <c r="R34" s="104" t="str">
        <f>' '!Q42</f>
        <v/>
      </c>
    </row>
    <row r="35" spans="1:18" x14ac:dyDescent="0.35">
      <c r="A35" s="111">
        <f>' '!A43</f>
        <v>19</v>
      </c>
      <c r="B35" s="113">
        <f ca="1">' '!C43</f>
        <v>46183</v>
      </c>
      <c r="C35" s="111">
        <f ca="1">' '!D43</f>
        <v>31</v>
      </c>
      <c r="D35" s="103">
        <f ca="1">' '!H43</f>
        <v>11189.95647531388</v>
      </c>
      <c r="E35" s="103">
        <f ca="1">' '!F43</f>
        <v>6804.6764753138796</v>
      </c>
      <c r="F35" s="104">
        <f ca="1">' '!G43</f>
        <v>3135.28</v>
      </c>
      <c r="G35" s="103">
        <f>' '!O43</f>
        <v>1250</v>
      </c>
      <c r="I35" s="104" t="str">
        <f>' '!M43</f>
        <v/>
      </c>
      <c r="M35" s="104" t="str">
        <f>' '!I43</f>
        <v/>
      </c>
      <c r="N35" s="104" t="str">
        <f>' '!J43</f>
        <v/>
      </c>
      <c r="O35" s="104" t="str">
        <f>' '!K43</f>
        <v xml:space="preserve"> </v>
      </c>
      <c r="Q35" s="109" t="str">
        <f>' '!P43</f>
        <v/>
      </c>
      <c r="R35" s="104" t="str">
        <f>' '!Q43</f>
        <v/>
      </c>
    </row>
    <row r="36" spans="1:18" x14ac:dyDescent="0.35">
      <c r="A36" s="111">
        <f>' '!A44</f>
        <v>20</v>
      </c>
      <c r="B36" s="113">
        <f ca="1">' '!C44</f>
        <v>46213</v>
      </c>
      <c r="C36" s="111">
        <f ca="1">' '!D44</f>
        <v>30</v>
      </c>
      <c r="D36" s="103">
        <f ca="1">' '!H44</f>
        <v>11189.95647531388</v>
      </c>
      <c r="E36" s="103">
        <f ca="1">' '!F44</f>
        <v>7045.6364753138805</v>
      </c>
      <c r="F36" s="104">
        <f ca="1">' '!G44</f>
        <v>2894.32</v>
      </c>
      <c r="G36" s="103">
        <f>' '!O44</f>
        <v>1250</v>
      </c>
      <c r="I36" s="104" t="str">
        <f>' '!M44</f>
        <v/>
      </c>
      <c r="M36" s="104" t="str">
        <f>' '!I44</f>
        <v/>
      </c>
      <c r="N36" s="104" t="str">
        <f>' '!J44</f>
        <v/>
      </c>
      <c r="O36" s="104" t="str">
        <f>' '!K44</f>
        <v xml:space="preserve"> </v>
      </c>
      <c r="Q36" s="109" t="str">
        <f>' '!P44</f>
        <v/>
      </c>
      <c r="R36" s="104" t="str">
        <f>' '!Q44</f>
        <v/>
      </c>
    </row>
    <row r="37" spans="1:18" x14ac:dyDescent="0.35">
      <c r="A37" s="111">
        <f>' '!A45</f>
        <v>21</v>
      </c>
      <c r="B37" s="113">
        <f ca="1">' '!C45</f>
        <v>46244</v>
      </c>
      <c r="C37" s="111">
        <f ca="1">' '!D45</f>
        <v>31</v>
      </c>
      <c r="D37" s="103">
        <f ca="1">' '!H45</f>
        <v>11189.95647531388</v>
      </c>
      <c r="E37" s="103">
        <f ca="1">' '!F45</f>
        <v>7098.7564753138804</v>
      </c>
      <c r="F37" s="104">
        <f ca="1">' '!G45</f>
        <v>2841.2</v>
      </c>
      <c r="G37" s="103">
        <f>' '!O45</f>
        <v>1250</v>
      </c>
      <c r="I37" s="104" t="str">
        <f>' '!M45</f>
        <v/>
      </c>
      <c r="M37" s="104" t="str">
        <f>' '!I45</f>
        <v/>
      </c>
      <c r="N37" s="104" t="str">
        <f>' '!J45</f>
        <v/>
      </c>
      <c r="O37" s="104" t="str">
        <f>' '!K45</f>
        <v xml:space="preserve"> </v>
      </c>
      <c r="Q37" s="109" t="str">
        <f>' '!P45</f>
        <v/>
      </c>
      <c r="R37" s="104" t="str">
        <f>' '!Q45</f>
        <v/>
      </c>
    </row>
    <row r="38" spans="1:18" x14ac:dyDescent="0.35">
      <c r="A38" s="111">
        <f>' '!A46</f>
        <v>22</v>
      </c>
      <c r="B38" s="113">
        <f ca="1">' '!C46</f>
        <v>46275</v>
      </c>
      <c r="C38" s="111">
        <f ca="1">' '!D46</f>
        <v>31</v>
      </c>
      <c r="D38" s="103">
        <f ca="1">' '!H46</f>
        <v>11189.95647531388</v>
      </c>
      <c r="E38" s="103">
        <f ca="1">' '!F46</f>
        <v>7249.4764753138807</v>
      </c>
      <c r="F38" s="104">
        <f ca="1">' '!G46</f>
        <v>2690.48</v>
      </c>
      <c r="G38" s="103">
        <f>' '!O46</f>
        <v>1250</v>
      </c>
      <c r="I38" s="104" t="str">
        <f>' '!M46</f>
        <v/>
      </c>
      <c r="M38" s="104" t="str">
        <f>' '!I46</f>
        <v/>
      </c>
      <c r="N38" s="104" t="str">
        <f>' '!J46</f>
        <v/>
      </c>
      <c r="O38" s="104" t="str">
        <f>' '!K46</f>
        <v xml:space="preserve"> </v>
      </c>
      <c r="Q38" s="109" t="str">
        <f>' '!P46</f>
        <v/>
      </c>
      <c r="R38" s="104" t="str">
        <f>' '!Q46</f>
        <v/>
      </c>
    </row>
    <row r="39" spans="1:18" x14ac:dyDescent="0.35">
      <c r="A39" s="111">
        <f>' '!A47</f>
        <v>23</v>
      </c>
      <c r="B39" s="113">
        <f ca="1">' '!C47</f>
        <v>46305</v>
      </c>
      <c r="C39" s="111">
        <f ca="1">' '!D47</f>
        <v>30</v>
      </c>
      <c r="D39" s="103">
        <f ca="1">' '!H47</f>
        <v>11189.95647531388</v>
      </c>
      <c r="E39" s="103">
        <f ca="1">' '!F47</f>
        <v>7485.2364753138809</v>
      </c>
      <c r="F39" s="104">
        <f ca="1">' '!G47</f>
        <v>2454.7199999999998</v>
      </c>
      <c r="G39" s="103">
        <f>' '!O47</f>
        <v>1250</v>
      </c>
      <c r="I39" s="104" t="str">
        <f>' '!M47</f>
        <v/>
      </c>
      <c r="M39" s="104" t="str">
        <f>' '!I47</f>
        <v/>
      </c>
      <c r="N39" s="104" t="str">
        <f>' '!J47</f>
        <v/>
      </c>
      <c r="O39" s="104" t="str">
        <f>' '!K47</f>
        <v xml:space="preserve"> </v>
      </c>
      <c r="Q39" s="109" t="str">
        <f>' '!P47</f>
        <v/>
      </c>
      <c r="R39" s="104" t="str">
        <f>' '!Q47</f>
        <v/>
      </c>
    </row>
    <row r="40" spans="1:18" x14ac:dyDescent="0.35">
      <c r="A40" s="111">
        <f>' '!A48</f>
        <v>24</v>
      </c>
      <c r="B40" s="113">
        <f ca="1">' '!C48</f>
        <v>46336</v>
      </c>
      <c r="C40" s="111">
        <f ca="1">' '!D48</f>
        <v>31</v>
      </c>
      <c r="D40" s="103">
        <f ca="1">' '!H48</f>
        <v>11189.95647531388</v>
      </c>
      <c r="E40" s="103">
        <f ca="1">' '!F48</f>
        <v>7562.3364753138803</v>
      </c>
      <c r="F40" s="104">
        <f ca="1">' '!G48</f>
        <v>2377.62</v>
      </c>
      <c r="G40" s="103">
        <f>' '!O48</f>
        <v>1250</v>
      </c>
      <c r="I40" s="104" t="str">
        <f>' '!M48</f>
        <v/>
      </c>
      <c r="M40" s="104" t="str">
        <f>' '!I48</f>
        <v/>
      </c>
      <c r="N40" s="104" t="str">
        <f>' '!J48</f>
        <v/>
      </c>
      <c r="O40" s="104" t="str">
        <f>' '!K48</f>
        <v xml:space="preserve"> </v>
      </c>
      <c r="Q40" s="109" t="str">
        <f>' '!P48</f>
        <v/>
      </c>
      <c r="R40" s="104" t="str">
        <f>' '!Q48</f>
        <v/>
      </c>
    </row>
    <row r="41" spans="1:18" x14ac:dyDescent="0.35">
      <c r="A41" s="111">
        <f>' '!A49</f>
        <v>25</v>
      </c>
      <c r="B41" s="113">
        <f ca="1">' '!C49</f>
        <v>46366</v>
      </c>
      <c r="C41" s="111">
        <f ca="1">' '!D49</f>
        <v>30</v>
      </c>
      <c r="D41" s="103">
        <f ca="1">' '!H49</f>
        <v>11189.95647531388</v>
      </c>
      <c r="E41" s="103">
        <f ca="1">' '!F49</f>
        <v>7794.4264753138796</v>
      </c>
      <c r="F41" s="104">
        <f ca="1">' '!G49</f>
        <v>2145.5300000000002</v>
      </c>
      <c r="G41" s="103">
        <f>' '!O49</f>
        <v>1250</v>
      </c>
      <c r="I41" s="104" t="str">
        <f>' '!M49</f>
        <v/>
      </c>
      <c r="M41" s="104" t="str">
        <f>' '!I49</f>
        <v/>
      </c>
      <c r="N41" s="104">
        <f>' '!J49</f>
        <v>0</v>
      </c>
      <c r="O41" s="104">
        <f ca="1">' '!K49</f>
        <v>0</v>
      </c>
      <c r="Q41" s="109" t="str">
        <f>' '!P49</f>
        <v/>
      </c>
      <c r="R41" s="104" t="str">
        <f>' '!Q49</f>
        <v/>
      </c>
    </row>
    <row r="42" spans="1:18" x14ac:dyDescent="0.35">
      <c r="A42" s="111">
        <f>' '!A50</f>
        <v>26</v>
      </c>
      <c r="B42" s="113">
        <f ca="1">' '!C50</f>
        <v>46397</v>
      </c>
      <c r="C42" s="111">
        <f ca="1">' '!D50</f>
        <v>31</v>
      </c>
      <c r="D42" s="103">
        <f ca="1">' '!H50</f>
        <v>11189.95647531388</v>
      </c>
      <c r="E42" s="103">
        <f ca="1">' '!F50</f>
        <v>7888.40647531388</v>
      </c>
      <c r="F42" s="104">
        <f ca="1">' '!G50</f>
        <v>2051.5500000000002</v>
      </c>
      <c r="G42" s="103">
        <f>' '!O50</f>
        <v>1250</v>
      </c>
      <c r="I42" s="104" t="str">
        <f>' '!M50</f>
        <v/>
      </c>
      <c r="M42" s="104" t="str">
        <f>' '!I50</f>
        <v/>
      </c>
      <c r="N42" s="104" t="str">
        <f>' '!J50</f>
        <v/>
      </c>
      <c r="O42" s="104" t="str">
        <f>' '!K50</f>
        <v xml:space="preserve"> </v>
      </c>
      <c r="Q42" s="109" t="str">
        <f>' '!P50</f>
        <v/>
      </c>
      <c r="R42" s="104" t="str">
        <f>' '!Q50</f>
        <v/>
      </c>
    </row>
    <row r="43" spans="1:18" x14ac:dyDescent="0.35">
      <c r="A43" s="111">
        <f>' '!A51</f>
        <v>27</v>
      </c>
      <c r="B43" s="113">
        <f ca="1">' '!C51</f>
        <v>46428</v>
      </c>
      <c r="C43" s="111">
        <f ca="1">' '!D51</f>
        <v>31</v>
      </c>
      <c r="D43" s="103">
        <f ca="1">' '!H51</f>
        <v>11189.95647531388</v>
      </c>
      <c r="E43" s="103">
        <f ca="1">' '!F51</f>
        <v>8055.90647531388</v>
      </c>
      <c r="F43" s="104">
        <f ca="1">' '!G51</f>
        <v>1884.05</v>
      </c>
      <c r="G43" s="103">
        <f>' '!O51</f>
        <v>1250</v>
      </c>
      <c r="I43" s="104" t="str">
        <f>' '!M51</f>
        <v/>
      </c>
      <c r="M43" s="104" t="str">
        <f>' '!I51</f>
        <v/>
      </c>
      <c r="N43" s="104" t="str">
        <f>' '!J51</f>
        <v/>
      </c>
      <c r="O43" s="104" t="str">
        <f>' '!K51</f>
        <v xml:space="preserve"> </v>
      </c>
      <c r="Q43" s="109" t="str">
        <f>' '!P51</f>
        <v/>
      </c>
      <c r="R43" s="104" t="str">
        <f>' '!Q51</f>
        <v/>
      </c>
    </row>
    <row r="44" spans="1:18" x14ac:dyDescent="0.35">
      <c r="A44" s="111">
        <f>' '!A52</f>
        <v>28</v>
      </c>
      <c r="B44" s="113">
        <f ca="1">' '!C52</f>
        <v>46456</v>
      </c>
      <c r="C44" s="111">
        <f ca="1">' '!D52</f>
        <v>28</v>
      </c>
      <c r="D44" s="103">
        <f ca="1">' '!H52</f>
        <v>11189.95647531388</v>
      </c>
      <c r="E44" s="103">
        <f ca="1">' '!F52</f>
        <v>8392.7264753138807</v>
      </c>
      <c r="F44" s="104">
        <f ca="1">' '!G52</f>
        <v>1547.23</v>
      </c>
      <c r="G44" s="103">
        <f>' '!O52</f>
        <v>1250</v>
      </c>
      <c r="I44" s="104" t="str">
        <f>' '!M52</f>
        <v/>
      </c>
      <c r="M44" s="104" t="str">
        <f>' '!I52</f>
        <v/>
      </c>
      <c r="N44" s="104" t="str">
        <f>' '!J52</f>
        <v/>
      </c>
      <c r="O44" s="104" t="str">
        <f>' '!K52</f>
        <v xml:space="preserve"> </v>
      </c>
      <c r="Q44" s="109" t="str">
        <f>' '!P52</f>
        <v/>
      </c>
      <c r="R44" s="104" t="str">
        <f>' '!Q52</f>
        <v/>
      </c>
    </row>
    <row r="45" spans="1:18" x14ac:dyDescent="0.35">
      <c r="A45" s="111">
        <f>' '!A53</f>
        <v>29</v>
      </c>
      <c r="B45" s="113">
        <f ca="1">' '!C53</f>
        <v>46487</v>
      </c>
      <c r="C45" s="111">
        <f ca="1">' '!D53</f>
        <v>31</v>
      </c>
      <c r="D45" s="103">
        <f ca="1">' '!H53</f>
        <v>11189.95647531388</v>
      </c>
      <c r="E45" s="103">
        <f ca="1">' '!F53</f>
        <v>8405.1564753138809</v>
      </c>
      <c r="F45" s="104">
        <f ca="1">' '!G53</f>
        <v>1534.8</v>
      </c>
      <c r="G45" s="103">
        <f>' '!O53</f>
        <v>1250</v>
      </c>
      <c r="I45" s="104" t="str">
        <f>' '!M53</f>
        <v/>
      </c>
      <c r="M45" s="104" t="str">
        <f>' '!I53</f>
        <v/>
      </c>
      <c r="N45" s="104" t="str">
        <f>' '!J53</f>
        <v/>
      </c>
      <c r="O45" s="104" t="str">
        <f>' '!K53</f>
        <v xml:space="preserve"> </v>
      </c>
      <c r="Q45" s="109" t="str">
        <f>' '!P53</f>
        <v/>
      </c>
      <c r="R45" s="104" t="str">
        <f>' '!Q53</f>
        <v/>
      </c>
    </row>
    <row r="46" spans="1:18" x14ac:dyDescent="0.35">
      <c r="A46" s="111">
        <f>' '!A54</f>
        <v>30</v>
      </c>
      <c r="B46" s="113">
        <f ca="1">' '!C54</f>
        <v>46517</v>
      </c>
      <c r="C46" s="111">
        <f ca="1">' '!D54</f>
        <v>30</v>
      </c>
      <c r="D46" s="103">
        <f ca="1">' '!H54</f>
        <v>11189.95647531388</v>
      </c>
      <c r="E46" s="103">
        <f ca="1">' '!F54</f>
        <v>8627.3764753138803</v>
      </c>
      <c r="F46" s="104">
        <f ca="1">' '!G54</f>
        <v>1312.58</v>
      </c>
      <c r="G46" s="103">
        <f>' '!O54</f>
        <v>1250</v>
      </c>
      <c r="I46" s="104" t="str">
        <f>' '!M54</f>
        <v/>
      </c>
      <c r="M46" s="104" t="str">
        <f>' '!I54</f>
        <v/>
      </c>
      <c r="N46" s="104" t="str">
        <f>' '!J54</f>
        <v/>
      </c>
      <c r="O46" s="104" t="str">
        <f>' '!K54</f>
        <v xml:space="preserve"> </v>
      </c>
      <c r="Q46" s="109" t="str">
        <f>' '!P54</f>
        <v/>
      </c>
      <c r="R46" s="104" t="str">
        <f>' '!Q54</f>
        <v/>
      </c>
    </row>
    <row r="47" spans="1:18" x14ac:dyDescent="0.35">
      <c r="A47" s="111">
        <f>' '!A55</f>
        <v>31</v>
      </c>
      <c r="B47" s="113">
        <f ca="1">' '!C55</f>
        <v>46548</v>
      </c>
      <c r="C47" s="111">
        <f ca="1">' '!D55</f>
        <v>31</v>
      </c>
      <c r="D47" s="103">
        <f ca="1">' '!H55</f>
        <v>11189.95647531388</v>
      </c>
      <c r="E47" s="103">
        <f ca="1">' '!F55</f>
        <v>8766.8064753138806</v>
      </c>
      <c r="F47" s="104">
        <f ca="1">' '!G55</f>
        <v>1173.1500000000001</v>
      </c>
      <c r="G47" s="103">
        <f>' '!O55</f>
        <v>1250</v>
      </c>
      <c r="I47" s="104" t="str">
        <f>' '!M55</f>
        <v/>
      </c>
      <c r="M47" s="104" t="str">
        <f>' '!I55</f>
        <v/>
      </c>
      <c r="N47" s="104" t="str">
        <f>' '!J55</f>
        <v/>
      </c>
      <c r="O47" s="104" t="str">
        <f>' '!K55</f>
        <v xml:space="preserve"> </v>
      </c>
      <c r="Q47" s="109" t="str">
        <f>' '!P55</f>
        <v/>
      </c>
      <c r="R47" s="104" t="str">
        <f>' '!Q55</f>
        <v/>
      </c>
    </row>
    <row r="48" spans="1:18" x14ac:dyDescent="0.35">
      <c r="A48" s="111">
        <f>' '!A56</f>
        <v>32</v>
      </c>
      <c r="B48" s="113">
        <f ca="1">' '!C56</f>
        <v>46578</v>
      </c>
      <c r="C48" s="111">
        <f ca="1">' '!D56</f>
        <v>30</v>
      </c>
      <c r="D48" s="103">
        <f ca="1">' '!H56</f>
        <v>11189.95647531388</v>
      </c>
      <c r="E48" s="103">
        <f ca="1">' '!F56</f>
        <v>8984.7864753138801</v>
      </c>
      <c r="F48" s="104">
        <f ca="1">' '!G56</f>
        <v>955.17</v>
      </c>
      <c r="G48" s="103">
        <f>' '!O56</f>
        <v>1250</v>
      </c>
      <c r="I48" s="104" t="str">
        <f>' '!M56</f>
        <v/>
      </c>
      <c r="M48" s="104" t="str">
        <f>' '!I56</f>
        <v/>
      </c>
      <c r="N48" s="104" t="str">
        <f>' '!J56</f>
        <v/>
      </c>
      <c r="O48" s="104" t="str">
        <f>' '!K56</f>
        <v xml:space="preserve"> </v>
      </c>
      <c r="Q48" s="109" t="str">
        <f>' '!P56</f>
        <v/>
      </c>
      <c r="R48" s="104" t="str">
        <f>' '!Q56</f>
        <v/>
      </c>
    </row>
    <row r="49" spans="1:19" x14ac:dyDescent="0.35">
      <c r="A49" s="111">
        <f>' '!A57</f>
        <v>33</v>
      </c>
      <c r="B49" s="113">
        <f ca="1">' '!C57</f>
        <v>46609</v>
      </c>
      <c r="C49" s="111">
        <f ca="1">' '!D57</f>
        <v>31</v>
      </c>
      <c r="D49" s="103">
        <f ca="1">' '!H57</f>
        <v>11189.95647531388</v>
      </c>
      <c r="E49" s="103">
        <f ca="1">' '!F57</f>
        <v>9143.7264753138807</v>
      </c>
      <c r="F49" s="104">
        <f ca="1">' '!G57</f>
        <v>796.23</v>
      </c>
      <c r="G49" s="103">
        <f>' '!O57</f>
        <v>1250</v>
      </c>
      <c r="I49" s="104" t="str">
        <f>' '!M57</f>
        <v/>
      </c>
      <c r="M49" s="104" t="str">
        <f>' '!I57</f>
        <v/>
      </c>
      <c r="N49" s="104" t="str">
        <f>' '!J57</f>
        <v/>
      </c>
      <c r="O49" s="104" t="str">
        <f>' '!K57</f>
        <v xml:space="preserve"> </v>
      </c>
      <c r="Q49" s="109" t="str">
        <f>' '!P57</f>
        <v/>
      </c>
      <c r="R49" s="104" t="str">
        <f>' '!Q57</f>
        <v/>
      </c>
    </row>
    <row r="50" spans="1:19" x14ac:dyDescent="0.35">
      <c r="A50" s="111">
        <f>' '!A58</f>
        <v>34</v>
      </c>
      <c r="B50" s="113">
        <f ca="1">' '!C58</f>
        <v>46640</v>
      </c>
      <c r="C50" s="111">
        <f ca="1">' '!D58</f>
        <v>31</v>
      </c>
      <c r="D50" s="103">
        <f ca="1">' '!H58</f>
        <v>11189.95647531388</v>
      </c>
      <c r="E50" s="103">
        <f ca="1">' '!F58</f>
        <v>9337.8664753138801</v>
      </c>
      <c r="F50" s="104">
        <f ca="1">' '!G58</f>
        <v>602.09</v>
      </c>
      <c r="G50" s="103">
        <f>' '!O58</f>
        <v>1250</v>
      </c>
      <c r="I50" s="104" t="str">
        <f>' '!M58</f>
        <v/>
      </c>
      <c r="M50" s="104" t="str">
        <f>' '!I58</f>
        <v/>
      </c>
      <c r="N50" s="104" t="str">
        <f>' '!J58</f>
        <v/>
      </c>
      <c r="O50" s="104" t="str">
        <f>' '!K58</f>
        <v xml:space="preserve"> </v>
      </c>
      <c r="Q50" s="109" t="str">
        <f>' '!P58</f>
        <v/>
      </c>
      <c r="R50" s="104" t="str">
        <f>' '!Q58</f>
        <v/>
      </c>
    </row>
    <row r="51" spans="1:19" x14ac:dyDescent="0.35">
      <c r="A51" s="111">
        <f>' '!A59</f>
        <v>35</v>
      </c>
      <c r="B51" s="113">
        <f ca="1">' '!C59</f>
        <v>46670</v>
      </c>
      <c r="C51" s="111">
        <f ca="1">' '!D59</f>
        <v>30</v>
      </c>
      <c r="D51" s="103">
        <f ca="1">' '!H59</f>
        <v>11189.95647531388</v>
      </c>
      <c r="E51" s="103">
        <f ca="1">' '!F59</f>
        <v>9549.1664753138793</v>
      </c>
      <c r="F51" s="104">
        <f ca="1">' '!G59</f>
        <v>390.79</v>
      </c>
      <c r="G51" s="103">
        <f>' '!O59</f>
        <v>1250</v>
      </c>
      <c r="I51" s="104" t="str">
        <f>' '!M59</f>
        <v/>
      </c>
      <c r="M51" s="104" t="str">
        <f>' '!I59</f>
        <v/>
      </c>
      <c r="N51" s="104" t="str">
        <f>' '!J59</f>
        <v/>
      </c>
      <c r="O51" s="104" t="str">
        <f>' '!K59</f>
        <v xml:space="preserve">  </v>
      </c>
      <c r="Q51" s="109" t="str">
        <f>' '!P59</f>
        <v/>
      </c>
      <c r="R51" s="104" t="str">
        <f>' '!Q59</f>
        <v/>
      </c>
    </row>
    <row r="52" spans="1:19" x14ac:dyDescent="0.35">
      <c r="A52" s="111">
        <f>' '!A60</f>
        <v>36</v>
      </c>
      <c r="B52" s="113">
        <f ca="1">' '!C60</f>
        <v>46701</v>
      </c>
      <c r="C52" s="111">
        <f ca="1">' '!D60</f>
        <v>31</v>
      </c>
      <c r="D52" s="103">
        <f ca="1">' '!H60</f>
        <v>10920.389999999987</v>
      </c>
      <c r="E52" s="103">
        <f ca="1">' '!F60</f>
        <v>9469.3299999999872</v>
      </c>
      <c r="F52" s="104">
        <f ca="1">' '!G60</f>
        <v>201.06</v>
      </c>
      <c r="G52" s="103">
        <f>' '!O60</f>
        <v>1250</v>
      </c>
      <c r="I52" s="104" t="str">
        <f>' '!M60</f>
        <v/>
      </c>
      <c r="M52" s="104" t="str">
        <f>' '!I60</f>
        <v/>
      </c>
      <c r="N52" s="104" t="str">
        <f>' '!J60</f>
        <v/>
      </c>
      <c r="O52" s="104" t="str">
        <f>' '!K60</f>
        <v xml:space="preserve"> </v>
      </c>
      <c r="Q52" s="109" t="str">
        <f>' '!P60</f>
        <v/>
      </c>
      <c r="R52" s="104" t="str">
        <f>' '!Q60</f>
        <v/>
      </c>
    </row>
    <row r="53" spans="1:19" x14ac:dyDescent="0.35">
      <c r="A53" s="111" t="str">
        <f>' '!A61</f>
        <v/>
      </c>
      <c r="B53" s="113" t="str">
        <f>' '!C61</f>
        <v/>
      </c>
      <c r="C53" s="111" t="str">
        <f>' '!D61</f>
        <v/>
      </c>
      <c r="D53" s="103">
        <f ca="1">' '!H61</f>
        <v>402568.86663598561</v>
      </c>
      <c r="E53" s="103">
        <f ca="1">' '!F61</f>
        <v>250000</v>
      </c>
      <c r="F53" s="104">
        <f ca="1">' '!G61</f>
        <v>107568.87</v>
      </c>
      <c r="G53" s="103">
        <f>' '!O61</f>
        <v>45000</v>
      </c>
      <c r="I53" s="104">
        <f>' '!M61</f>
        <v>6250</v>
      </c>
      <c r="M53" s="104">
        <f>' '!I61</f>
        <v>0</v>
      </c>
      <c r="N53" s="104">
        <f>' '!J61</f>
        <v>0</v>
      </c>
      <c r="O53" s="104">
        <f ca="1">' '!K61</f>
        <v>0</v>
      </c>
      <c r="Q53" s="123">
        <f ca="1">' '!P61</f>
        <v>0.42420840859413156</v>
      </c>
      <c r="R53" s="104">
        <f ca="1">' '!Q61</f>
        <v>408818.87</v>
      </c>
      <c r="S53" s="124"/>
    </row>
    <row r="54" spans="1:19" x14ac:dyDescent="0.35">
      <c r="A54" s="111" t="str">
        <f>' '!A62</f>
        <v/>
      </c>
      <c r="B54" s="113" t="str">
        <f>' '!C62</f>
        <v/>
      </c>
      <c r="C54" s="111" t="str">
        <f>' '!D62</f>
        <v/>
      </c>
      <c r="D54" s="103" t="str">
        <f>' '!H62</f>
        <v/>
      </c>
      <c r="E54" s="103" t="str">
        <f>' '!F62</f>
        <v/>
      </c>
      <c r="F54" s="104" t="str">
        <f>' '!G62</f>
        <v/>
      </c>
      <c r="G54" s="103" t="str">
        <f>' '!O62</f>
        <v xml:space="preserve"> </v>
      </c>
      <c r="I54" s="104" t="str">
        <f>' '!M62</f>
        <v/>
      </c>
      <c r="M54" s="104" t="str">
        <f>' '!I62</f>
        <v/>
      </c>
      <c r="N54" s="104" t="str">
        <f>' '!J62</f>
        <v/>
      </c>
      <c r="O54" s="104" t="str">
        <f>' '!K62</f>
        <v xml:space="preserve"> </v>
      </c>
      <c r="Q54" s="109" t="str">
        <f>' '!P62</f>
        <v/>
      </c>
      <c r="R54" s="104" t="str">
        <f>' '!Q62</f>
        <v/>
      </c>
    </row>
    <row r="55" spans="1:19" x14ac:dyDescent="0.35">
      <c r="A55" s="111" t="str">
        <f>' '!A63</f>
        <v/>
      </c>
      <c r="B55" s="113" t="str">
        <f>' '!C63</f>
        <v/>
      </c>
      <c r="C55" s="111" t="str">
        <f>' '!D63</f>
        <v/>
      </c>
      <c r="D55" s="103" t="str">
        <f>' '!H63</f>
        <v/>
      </c>
      <c r="E55" s="103" t="str">
        <f>' '!F63</f>
        <v/>
      </c>
      <c r="F55" s="104" t="str">
        <f>' '!G63</f>
        <v/>
      </c>
      <c r="G55" s="103" t="str">
        <f>' '!O63</f>
        <v xml:space="preserve"> </v>
      </c>
      <c r="I55" s="104" t="str">
        <f>' '!M63</f>
        <v/>
      </c>
      <c r="M55" s="104" t="str">
        <f>' '!I63</f>
        <v/>
      </c>
      <c r="N55" s="104" t="str">
        <f>' '!J63</f>
        <v/>
      </c>
      <c r="O55" s="104" t="str">
        <f>' '!K63</f>
        <v xml:space="preserve"> </v>
      </c>
      <c r="Q55" s="109" t="str">
        <f>' '!P63</f>
        <v/>
      </c>
      <c r="R55" s="104" t="str">
        <f>' '!Q63</f>
        <v/>
      </c>
    </row>
    <row r="56" spans="1:19" x14ac:dyDescent="0.35">
      <c r="A56" s="111" t="str">
        <f>' '!A64</f>
        <v/>
      </c>
      <c r="B56" s="113" t="str">
        <f>' '!C64</f>
        <v/>
      </c>
      <c r="C56" s="111" t="str">
        <f>' '!D64</f>
        <v/>
      </c>
      <c r="D56" s="103" t="str">
        <f>' '!H64</f>
        <v/>
      </c>
      <c r="E56" s="103" t="str">
        <f>' '!F64</f>
        <v/>
      </c>
      <c r="F56" s="104" t="str">
        <f>' '!G64</f>
        <v/>
      </c>
      <c r="G56" s="103" t="str">
        <f>' '!O64</f>
        <v xml:space="preserve"> </v>
      </c>
      <c r="I56" s="104" t="str">
        <f>' '!M64</f>
        <v/>
      </c>
      <c r="M56" s="104" t="str">
        <f>' '!I64</f>
        <v/>
      </c>
      <c r="N56" s="104" t="str">
        <f>' '!J64</f>
        <v/>
      </c>
      <c r="O56" s="104" t="str">
        <f>' '!K64</f>
        <v xml:space="preserve"> </v>
      </c>
      <c r="Q56" s="109" t="str">
        <f>' '!P64</f>
        <v/>
      </c>
      <c r="R56" s="104" t="str">
        <f>' '!Q64</f>
        <v/>
      </c>
    </row>
    <row r="57" spans="1:19" x14ac:dyDescent="0.35">
      <c r="A57" s="111" t="str">
        <f>' '!A65</f>
        <v/>
      </c>
      <c r="B57" s="113" t="str">
        <f>' '!C65</f>
        <v/>
      </c>
      <c r="C57" s="111" t="str">
        <f>' '!D65</f>
        <v/>
      </c>
      <c r="D57" s="103" t="str">
        <f>' '!H65</f>
        <v/>
      </c>
      <c r="E57" s="103" t="str">
        <f>' '!F65</f>
        <v/>
      </c>
      <c r="F57" s="104" t="str">
        <f>' '!G65</f>
        <v/>
      </c>
      <c r="G57" s="103" t="str">
        <f>' '!O65</f>
        <v xml:space="preserve"> </v>
      </c>
      <c r="I57" s="104" t="str">
        <f>' '!M65</f>
        <v/>
      </c>
      <c r="M57" s="104" t="str">
        <f>' '!I65</f>
        <v/>
      </c>
      <c r="N57" s="104" t="str">
        <f>' '!J65</f>
        <v/>
      </c>
      <c r="O57" s="104" t="str">
        <f>' '!K65</f>
        <v xml:space="preserve"> </v>
      </c>
      <c r="Q57" s="109" t="str">
        <f>' '!P65</f>
        <v/>
      </c>
      <c r="R57" s="104" t="str">
        <f>' '!Q65</f>
        <v/>
      </c>
    </row>
    <row r="58" spans="1:19" x14ac:dyDescent="0.35">
      <c r="A58" s="111" t="str">
        <f>' '!A66</f>
        <v/>
      </c>
      <c r="B58" s="113" t="str">
        <f>' '!C66</f>
        <v/>
      </c>
      <c r="C58" s="111" t="str">
        <f>' '!D66</f>
        <v/>
      </c>
      <c r="D58" s="103" t="str">
        <f>' '!H66</f>
        <v/>
      </c>
      <c r="E58" s="103" t="str">
        <f>' '!F66</f>
        <v/>
      </c>
      <c r="F58" s="104" t="str">
        <f>' '!G66</f>
        <v/>
      </c>
      <c r="G58" s="103" t="str">
        <f>' '!O66</f>
        <v xml:space="preserve"> </v>
      </c>
      <c r="I58" s="104" t="str">
        <f>' '!M66</f>
        <v/>
      </c>
      <c r="M58" s="104" t="str">
        <f>' '!I66</f>
        <v/>
      </c>
      <c r="N58" s="104" t="str">
        <f>' '!J66</f>
        <v/>
      </c>
      <c r="O58" s="104" t="str">
        <f>' '!K66</f>
        <v xml:space="preserve"> </v>
      </c>
      <c r="Q58" s="109" t="str">
        <f>' '!P66</f>
        <v/>
      </c>
      <c r="R58" s="104" t="str">
        <f>' '!Q66</f>
        <v/>
      </c>
    </row>
    <row r="59" spans="1:19" x14ac:dyDescent="0.35">
      <c r="A59" s="111" t="str">
        <f>' '!A67</f>
        <v/>
      </c>
      <c r="B59" s="113" t="str">
        <f>' '!C67</f>
        <v/>
      </c>
      <c r="C59" s="111" t="str">
        <f>' '!D67</f>
        <v/>
      </c>
      <c r="D59" s="103" t="str">
        <f>' '!H67</f>
        <v/>
      </c>
      <c r="E59" s="103" t="str">
        <f>' '!F67</f>
        <v/>
      </c>
      <c r="F59" s="104" t="str">
        <f>' '!G67</f>
        <v/>
      </c>
      <c r="G59" s="103" t="str">
        <f>' '!O67</f>
        <v xml:space="preserve"> </v>
      </c>
      <c r="I59" s="104" t="str">
        <f>' '!M67</f>
        <v/>
      </c>
      <c r="M59" s="104" t="str">
        <f>' '!I67</f>
        <v/>
      </c>
      <c r="N59" s="104" t="str">
        <f>' '!J67</f>
        <v/>
      </c>
      <c r="O59" s="104" t="str">
        <f>' '!K67</f>
        <v xml:space="preserve"> </v>
      </c>
      <c r="Q59" s="109" t="str">
        <f>' '!P67</f>
        <v/>
      </c>
      <c r="R59" s="104" t="str">
        <f>' '!Q67</f>
        <v/>
      </c>
    </row>
    <row r="60" spans="1:19" x14ac:dyDescent="0.35">
      <c r="A60" s="111" t="str">
        <f>' '!A68</f>
        <v/>
      </c>
      <c r="B60" s="113" t="str">
        <f>' '!C68</f>
        <v/>
      </c>
      <c r="C60" s="111" t="str">
        <f>' '!D68</f>
        <v/>
      </c>
      <c r="D60" s="103" t="str">
        <f>' '!H68</f>
        <v/>
      </c>
      <c r="E60" s="103" t="str">
        <f>' '!F68</f>
        <v/>
      </c>
      <c r="F60" s="104" t="str">
        <f>' '!G68</f>
        <v/>
      </c>
      <c r="G60" s="103" t="str">
        <f>' '!O68</f>
        <v xml:space="preserve"> </v>
      </c>
      <c r="I60" s="104" t="str">
        <f>' '!M68</f>
        <v/>
      </c>
      <c r="M60" s="104" t="str">
        <f>' '!I68</f>
        <v/>
      </c>
      <c r="N60" s="104" t="str">
        <f>' '!J68</f>
        <v/>
      </c>
      <c r="O60" s="104" t="str">
        <f>' '!K68</f>
        <v xml:space="preserve"> </v>
      </c>
      <c r="Q60" s="109" t="str">
        <f>' '!P68</f>
        <v/>
      </c>
      <c r="R60" s="104" t="str">
        <f>' '!Q68</f>
        <v/>
      </c>
    </row>
    <row r="61" spans="1:19" x14ac:dyDescent="0.35">
      <c r="A61" s="111" t="str">
        <f>' '!A69</f>
        <v/>
      </c>
      <c r="B61" s="113" t="str">
        <f>' '!C69</f>
        <v/>
      </c>
      <c r="C61" s="111" t="str">
        <f>' '!D69</f>
        <v/>
      </c>
      <c r="D61" s="103" t="str">
        <f>' '!H69</f>
        <v/>
      </c>
      <c r="E61" s="103" t="str">
        <f>' '!F69</f>
        <v/>
      </c>
      <c r="F61" s="104" t="str">
        <f>' '!G69</f>
        <v/>
      </c>
      <c r="G61" s="103" t="str">
        <f>' '!O69</f>
        <v xml:space="preserve"> </v>
      </c>
      <c r="I61" s="104" t="str">
        <f>' '!M69</f>
        <v/>
      </c>
      <c r="M61" s="104" t="str">
        <f>' '!I69</f>
        <v/>
      </c>
      <c r="N61" s="104" t="str">
        <f>' '!J69</f>
        <v/>
      </c>
      <c r="O61" s="104" t="str">
        <f>' '!K69</f>
        <v xml:space="preserve"> </v>
      </c>
      <c r="Q61" s="109" t="str">
        <f>' '!P69</f>
        <v/>
      </c>
      <c r="R61" s="104" t="str">
        <f>' '!Q69</f>
        <v/>
      </c>
    </row>
    <row r="62" spans="1:19" x14ac:dyDescent="0.35">
      <c r="A62" s="111" t="str">
        <f>' '!A70</f>
        <v/>
      </c>
      <c r="B62" s="113" t="str">
        <f>' '!C70</f>
        <v/>
      </c>
      <c r="C62" s="111" t="str">
        <f>' '!D70</f>
        <v/>
      </c>
      <c r="D62" s="103" t="str">
        <f>' '!H70</f>
        <v/>
      </c>
      <c r="E62" s="103" t="str">
        <f>' '!F70</f>
        <v/>
      </c>
      <c r="F62" s="104" t="str">
        <f>' '!G70</f>
        <v/>
      </c>
      <c r="G62" s="103" t="str">
        <f>' '!O70</f>
        <v xml:space="preserve"> </v>
      </c>
      <c r="I62" s="104" t="str">
        <f>' '!M70</f>
        <v/>
      </c>
      <c r="M62" s="104" t="str">
        <f>' '!I70</f>
        <v/>
      </c>
      <c r="N62" s="104" t="str">
        <f>' '!J70</f>
        <v/>
      </c>
      <c r="O62" s="104" t="str">
        <f>' '!K70</f>
        <v xml:space="preserve"> </v>
      </c>
      <c r="Q62" s="109" t="str">
        <f>' '!P70</f>
        <v/>
      </c>
      <c r="R62" s="104" t="str">
        <f>' '!Q70</f>
        <v/>
      </c>
    </row>
    <row r="63" spans="1:19" x14ac:dyDescent="0.35">
      <c r="A63" s="111" t="str">
        <f>' '!A71</f>
        <v/>
      </c>
      <c r="B63" s="113" t="str">
        <f>' '!C71</f>
        <v/>
      </c>
      <c r="C63" s="111" t="str">
        <f>' '!D71</f>
        <v/>
      </c>
      <c r="D63" s="103" t="str">
        <f>' '!H71</f>
        <v/>
      </c>
      <c r="E63" s="103" t="str">
        <f>' '!F71</f>
        <v/>
      </c>
      <c r="F63" s="104" t="str">
        <f>' '!G71</f>
        <v/>
      </c>
      <c r="G63" s="103" t="str">
        <f>' '!O71</f>
        <v xml:space="preserve"> </v>
      </c>
      <c r="I63" s="104" t="str">
        <f>' '!M71</f>
        <v/>
      </c>
      <c r="M63" s="104" t="str">
        <f>' '!I71</f>
        <v/>
      </c>
      <c r="N63" s="104" t="str">
        <f>' '!J71</f>
        <v/>
      </c>
      <c r="O63" s="104" t="str">
        <f>' '!K71</f>
        <v xml:space="preserve"> </v>
      </c>
      <c r="Q63" s="109" t="str">
        <f>' '!P71</f>
        <v/>
      </c>
      <c r="R63" s="104" t="str">
        <f>' '!Q71</f>
        <v/>
      </c>
    </row>
    <row r="64" spans="1:19" x14ac:dyDescent="0.35">
      <c r="A64" s="111" t="str">
        <f>' '!A72</f>
        <v/>
      </c>
      <c r="B64" s="113" t="str">
        <f>' '!C72</f>
        <v/>
      </c>
      <c r="C64" s="111" t="str">
        <f>' '!D72</f>
        <v/>
      </c>
      <c r="D64" s="103" t="str">
        <f>' '!H72</f>
        <v/>
      </c>
      <c r="E64" s="103" t="str">
        <f>' '!F72</f>
        <v/>
      </c>
      <c r="F64" s="104" t="str">
        <f>' '!G72</f>
        <v/>
      </c>
      <c r="G64" s="103" t="str">
        <f>' '!O72</f>
        <v xml:space="preserve"> </v>
      </c>
      <c r="I64" s="104" t="str">
        <f>' '!M72</f>
        <v/>
      </c>
      <c r="M64" s="104" t="str">
        <f>' '!I72</f>
        <v/>
      </c>
      <c r="N64" s="104" t="str">
        <f>' '!J72</f>
        <v/>
      </c>
      <c r="O64" s="104" t="str">
        <f>' '!K72</f>
        <v xml:space="preserve"> </v>
      </c>
      <c r="Q64" s="109" t="str">
        <f>' '!P72</f>
        <v/>
      </c>
      <c r="R64" s="104" t="str">
        <f>' '!Q72</f>
        <v/>
      </c>
    </row>
    <row r="65" spans="1:18" x14ac:dyDescent="0.35">
      <c r="A65" s="111" t="str">
        <f>' '!A73</f>
        <v/>
      </c>
      <c r="B65" s="113" t="str">
        <f>' '!C73</f>
        <v/>
      </c>
      <c r="C65" s="111" t="str">
        <f>' '!D73</f>
        <v/>
      </c>
      <c r="D65" s="103" t="str">
        <f>' '!H73</f>
        <v/>
      </c>
      <c r="E65" s="103" t="str">
        <f>' '!F73</f>
        <v/>
      </c>
      <c r="F65" s="104" t="str">
        <f>' '!G73</f>
        <v/>
      </c>
      <c r="G65" s="103" t="str">
        <f>' '!O73</f>
        <v xml:space="preserve"> </v>
      </c>
      <c r="I65" s="104" t="str">
        <f>' '!M73</f>
        <v/>
      </c>
      <c r="M65" s="104" t="str">
        <f>' '!I73</f>
        <v/>
      </c>
      <c r="N65" s="104" t="str">
        <f>' '!J73</f>
        <v xml:space="preserve"> </v>
      </c>
      <c r="O65" s="104" t="str">
        <f>' '!K73</f>
        <v/>
      </c>
      <c r="Q65" s="109" t="str">
        <f>' '!P73</f>
        <v/>
      </c>
      <c r="R65" s="104" t="str">
        <f>' '!Q73</f>
        <v/>
      </c>
    </row>
    <row r="66" spans="1:18" x14ac:dyDescent="0.35">
      <c r="A66" s="111" t="str">
        <f>' '!A74</f>
        <v/>
      </c>
      <c r="B66" s="113" t="str">
        <f>' '!C74</f>
        <v/>
      </c>
      <c r="C66" s="111" t="str">
        <f>' '!D74</f>
        <v/>
      </c>
      <c r="D66" s="103" t="str">
        <f>' '!H74</f>
        <v/>
      </c>
      <c r="E66" s="103" t="str">
        <f>' '!F74</f>
        <v/>
      </c>
      <c r="F66" s="104" t="str">
        <f>' '!G74</f>
        <v/>
      </c>
      <c r="G66" s="103" t="str">
        <f>' '!O74</f>
        <v xml:space="preserve"> </v>
      </c>
      <c r="I66" s="104" t="str">
        <f>' '!M74</f>
        <v/>
      </c>
      <c r="M66" s="104" t="str">
        <f>' '!I74</f>
        <v/>
      </c>
      <c r="N66" s="104" t="str">
        <f>' '!J74</f>
        <v/>
      </c>
      <c r="O66" s="104" t="str">
        <f>' '!K74</f>
        <v xml:space="preserve"> </v>
      </c>
      <c r="Q66" s="109" t="str">
        <f>' '!P74</f>
        <v/>
      </c>
      <c r="R66" s="104" t="str">
        <f>' '!Q74</f>
        <v/>
      </c>
    </row>
    <row r="67" spans="1:18" x14ac:dyDescent="0.35">
      <c r="A67" s="111" t="str">
        <f>' '!A75</f>
        <v/>
      </c>
      <c r="B67" s="113" t="str">
        <f>' '!C75</f>
        <v/>
      </c>
      <c r="C67" s="111" t="str">
        <f>' '!D75</f>
        <v/>
      </c>
      <c r="D67" s="103" t="str">
        <f>' '!H75</f>
        <v/>
      </c>
      <c r="E67" s="103" t="str">
        <f>' '!F75</f>
        <v/>
      </c>
      <c r="F67" s="104" t="str">
        <f>' '!G75</f>
        <v/>
      </c>
      <c r="G67" s="103" t="str">
        <f>' '!O75</f>
        <v xml:space="preserve"> </v>
      </c>
      <c r="I67" s="104" t="str">
        <f>' '!M75</f>
        <v/>
      </c>
      <c r="M67" s="104" t="str">
        <f>' '!I75</f>
        <v/>
      </c>
      <c r="N67" s="104" t="str">
        <f>' '!J75</f>
        <v/>
      </c>
      <c r="O67" s="104" t="str">
        <f>' '!K75</f>
        <v xml:space="preserve"> </v>
      </c>
      <c r="Q67" s="109" t="str">
        <f>' '!P75</f>
        <v/>
      </c>
      <c r="R67" s="104" t="str">
        <f>' '!Q75</f>
        <v/>
      </c>
    </row>
    <row r="68" spans="1:18" x14ac:dyDescent="0.35">
      <c r="A68" s="111" t="str">
        <f>' '!A76</f>
        <v/>
      </c>
      <c r="B68" s="113" t="str">
        <f>' '!C76</f>
        <v/>
      </c>
      <c r="C68" s="111" t="str">
        <f>' '!D76</f>
        <v/>
      </c>
      <c r="D68" s="103" t="str">
        <f>' '!H76</f>
        <v/>
      </c>
      <c r="E68" s="103" t="str">
        <f>' '!F76</f>
        <v/>
      </c>
      <c r="F68" s="104" t="str">
        <f>' '!G76</f>
        <v/>
      </c>
      <c r="G68" s="103" t="str">
        <f>' '!O76</f>
        <v xml:space="preserve"> </v>
      </c>
      <c r="I68" s="104" t="str">
        <f>' '!M76</f>
        <v/>
      </c>
      <c r="M68" s="104" t="str">
        <f>' '!I76</f>
        <v/>
      </c>
      <c r="N68" s="104" t="str">
        <f>' '!J76</f>
        <v/>
      </c>
      <c r="O68" s="104" t="str">
        <f>' '!K76</f>
        <v xml:space="preserve"> </v>
      </c>
      <c r="Q68" s="109" t="str">
        <f>' '!P76</f>
        <v/>
      </c>
      <c r="R68" s="104" t="str">
        <f>' '!Q76</f>
        <v/>
      </c>
    </row>
    <row r="69" spans="1:18" x14ac:dyDescent="0.35">
      <c r="A69" s="111" t="str">
        <f>' '!A77</f>
        <v/>
      </c>
      <c r="B69" s="113" t="str">
        <f>' '!C77</f>
        <v/>
      </c>
      <c r="C69" s="111" t="str">
        <f>' '!D77</f>
        <v/>
      </c>
      <c r="D69" s="103" t="str">
        <f>' '!H77</f>
        <v/>
      </c>
      <c r="E69" s="103" t="str">
        <f>' '!F77</f>
        <v/>
      </c>
      <c r="F69" s="104" t="str">
        <f>' '!G77</f>
        <v/>
      </c>
      <c r="G69" s="103" t="str">
        <f>' '!O77</f>
        <v xml:space="preserve"> </v>
      </c>
      <c r="I69" s="104" t="str">
        <f>' '!M77</f>
        <v/>
      </c>
      <c r="M69" s="104" t="str">
        <f>' '!I77</f>
        <v/>
      </c>
      <c r="N69" s="104" t="str">
        <f>' '!J77</f>
        <v/>
      </c>
      <c r="O69" s="104" t="str">
        <f>' '!K77</f>
        <v xml:space="preserve"> </v>
      </c>
      <c r="Q69" s="109" t="str">
        <f>' '!P77</f>
        <v/>
      </c>
      <c r="R69" s="104" t="str">
        <f>' '!Q77</f>
        <v/>
      </c>
    </row>
    <row r="70" spans="1:18" x14ac:dyDescent="0.35">
      <c r="A70" s="111" t="str">
        <f>' '!A78</f>
        <v/>
      </c>
      <c r="B70" s="113" t="str">
        <f>' '!C78</f>
        <v/>
      </c>
      <c r="C70" s="111" t="str">
        <f>' '!D78</f>
        <v/>
      </c>
      <c r="D70" s="103" t="str">
        <f>' '!H78</f>
        <v/>
      </c>
      <c r="E70" s="103" t="str">
        <f>' '!F78</f>
        <v/>
      </c>
      <c r="F70" s="104" t="str">
        <f>' '!G78</f>
        <v/>
      </c>
      <c r="G70" s="103" t="str">
        <f>' '!O78</f>
        <v xml:space="preserve"> </v>
      </c>
      <c r="I70" s="104" t="str">
        <f>' '!M78</f>
        <v/>
      </c>
      <c r="M70" s="104" t="str">
        <f>' '!I78</f>
        <v/>
      </c>
      <c r="N70" s="104" t="str">
        <f>' '!J78</f>
        <v/>
      </c>
      <c r="O70" s="104" t="str">
        <f>' '!K78</f>
        <v xml:space="preserve"> </v>
      </c>
      <c r="Q70" s="109" t="str">
        <f>' '!P78</f>
        <v/>
      </c>
      <c r="R70" s="104" t="str">
        <f>' '!Q78</f>
        <v/>
      </c>
    </row>
    <row r="71" spans="1:18" x14ac:dyDescent="0.35">
      <c r="A71" s="111" t="str">
        <f>' '!A79</f>
        <v/>
      </c>
      <c r="B71" s="113" t="str">
        <f>' '!C79</f>
        <v/>
      </c>
      <c r="C71" s="111" t="str">
        <f>' '!D79</f>
        <v/>
      </c>
      <c r="D71" s="103" t="str">
        <f>' '!H79</f>
        <v/>
      </c>
      <c r="E71" s="103" t="str">
        <f>' '!F79</f>
        <v/>
      </c>
      <c r="F71" s="104" t="str">
        <f>' '!G79</f>
        <v/>
      </c>
      <c r="G71" s="103" t="str">
        <f>' '!O79</f>
        <v xml:space="preserve"> </v>
      </c>
      <c r="I71" s="104" t="str">
        <f>' '!M79</f>
        <v/>
      </c>
      <c r="M71" s="104" t="str">
        <f>' '!I79</f>
        <v/>
      </c>
      <c r="N71" s="104" t="str">
        <f>' '!J79</f>
        <v/>
      </c>
      <c r="O71" s="104" t="str">
        <f>' '!K79</f>
        <v xml:space="preserve"> </v>
      </c>
      <c r="Q71" s="109" t="str">
        <f>' '!P79</f>
        <v/>
      </c>
      <c r="R71" s="104" t="str">
        <f>' '!Q79</f>
        <v/>
      </c>
    </row>
    <row r="72" spans="1:18" x14ac:dyDescent="0.35">
      <c r="A72" s="111" t="str">
        <f>' '!A80</f>
        <v/>
      </c>
      <c r="B72" s="113" t="str">
        <f>' '!C80</f>
        <v/>
      </c>
      <c r="C72" s="111" t="str">
        <f>' '!D80</f>
        <v/>
      </c>
      <c r="D72" s="103" t="str">
        <f>' '!H80</f>
        <v/>
      </c>
      <c r="E72" s="103" t="str">
        <f>' '!F80</f>
        <v/>
      </c>
      <c r="F72" s="104" t="str">
        <f>' '!G80</f>
        <v/>
      </c>
      <c r="G72" s="103" t="str">
        <f>' '!O80</f>
        <v xml:space="preserve"> </v>
      </c>
      <c r="I72" s="104" t="str">
        <f>' '!M80</f>
        <v/>
      </c>
      <c r="M72" s="104" t="str">
        <f>' '!I80</f>
        <v/>
      </c>
      <c r="N72" s="104" t="str">
        <f>' '!J80</f>
        <v/>
      </c>
      <c r="O72" s="104" t="str">
        <f>' '!K80</f>
        <v xml:space="preserve"> </v>
      </c>
      <c r="Q72" s="109" t="str">
        <f>' '!P80</f>
        <v/>
      </c>
      <c r="R72" s="104" t="str">
        <f>' '!Q80</f>
        <v/>
      </c>
    </row>
    <row r="73" spans="1:18" x14ac:dyDescent="0.35">
      <c r="A73" s="111" t="str">
        <f>' '!A81</f>
        <v/>
      </c>
      <c r="B73" s="113" t="str">
        <f>' '!C81</f>
        <v/>
      </c>
      <c r="C73" s="111" t="str">
        <f>' '!D81</f>
        <v/>
      </c>
      <c r="D73" s="103" t="str">
        <f>' '!H81</f>
        <v/>
      </c>
      <c r="E73" s="103" t="str">
        <f>' '!F81</f>
        <v/>
      </c>
      <c r="F73" s="104" t="str">
        <f>' '!G81</f>
        <v/>
      </c>
      <c r="G73" s="103" t="str">
        <f>' '!O81</f>
        <v xml:space="preserve"> </v>
      </c>
      <c r="I73" s="104" t="str">
        <f>' '!M81</f>
        <v/>
      </c>
      <c r="M73" s="104" t="str">
        <f>' '!I81</f>
        <v/>
      </c>
      <c r="N73" s="104" t="str">
        <f>' '!J81</f>
        <v/>
      </c>
      <c r="O73" s="104" t="str">
        <f>' '!K81</f>
        <v xml:space="preserve"> </v>
      </c>
      <c r="Q73" s="109" t="str">
        <f>' '!P81</f>
        <v/>
      </c>
      <c r="R73" s="104" t="str">
        <f>' '!Q81</f>
        <v/>
      </c>
    </row>
    <row r="74" spans="1:18" x14ac:dyDescent="0.35">
      <c r="A74" s="111" t="str">
        <f>' '!A82</f>
        <v/>
      </c>
      <c r="B74" s="113" t="str">
        <f>' '!C82</f>
        <v/>
      </c>
      <c r="C74" s="111" t="str">
        <f>' '!D82</f>
        <v/>
      </c>
      <c r="D74" s="103" t="str">
        <f>' '!H82</f>
        <v/>
      </c>
      <c r="E74" s="103" t="str">
        <f>' '!F82</f>
        <v/>
      </c>
      <c r="F74" s="104" t="str">
        <f>' '!G82</f>
        <v/>
      </c>
      <c r="G74" s="103" t="str">
        <f>' '!O82</f>
        <v xml:space="preserve"> </v>
      </c>
      <c r="I74" s="104" t="str">
        <f>' '!M82</f>
        <v/>
      </c>
      <c r="M74" s="104" t="str">
        <f>' '!I82</f>
        <v/>
      </c>
      <c r="N74" s="104" t="str">
        <f>' '!J82</f>
        <v/>
      </c>
      <c r="O74" s="104" t="str">
        <f>' '!K82</f>
        <v xml:space="preserve"> </v>
      </c>
      <c r="Q74" s="109" t="str">
        <f>' '!P82</f>
        <v/>
      </c>
      <c r="R74" s="104" t="str">
        <f>' '!Q82</f>
        <v/>
      </c>
    </row>
    <row r="75" spans="1:18" x14ac:dyDescent="0.35">
      <c r="A75" s="111" t="str">
        <f>' '!A83</f>
        <v/>
      </c>
      <c r="B75" s="113" t="str">
        <f>' '!C83</f>
        <v/>
      </c>
      <c r="C75" s="111" t="str">
        <f>' '!D83</f>
        <v/>
      </c>
      <c r="D75" s="103" t="str">
        <f>' '!H83</f>
        <v/>
      </c>
      <c r="E75" s="103" t="str">
        <f>' '!F83</f>
        <v/>
      </c>
      <c r="F75" s="104" t="str">
        <f>' '!G83</f>
        <v/>
      </c>
      <c r="G75" s="103" t="str">
        <f>' '!O83</f>
        <v xml:space="preserve"> </v>
      </c>
      <c r="I75" s="104" t="str">
        <f>' '!M83</f>
        <v/>
      </c>
      <c r="M75" s="104" t="str">
        <f>' '!I83</f>
        <v/>
      </c>
      <c r="N75" s="104" t="str">
        <f>' '!J83</f>
        <v/>
      </c>
      <c r="O75" s="104" t="str">
        <f>' '!K83</f>
        <v xml:space="preserve"> </v>
      </c>
      <c r="Q75" s="109" t="str">
        <f>' '!P83</f>
        <v/>
      </c>
      <c r="R75" s="104" t="str">
        <f>' '!Q83</f>
        <v/>
      </c>
    </row>
    <row r="76" spans="1:18" x14ac:dyDescent="0.35">
      <c r="A76" s="111" t="str">
        <f>' '!A84</f>
        <v/>
      </c>
      <c r="B76" s="113" t="str">
        <f>' '!C84</f>
        <v/>
      </c>
      <c r="C76" s="111" t="str">
        <f>' '!D84</f>
        <v/>
      </c>
      <c r="D76" s="103" t="str">
        <f>' '!H84</f>
        <v/>
      </c>
      <c r="E76" s="103" t="str">
        <f>' '!F84</f>
        <v/>
      </c>
      <c r="F76" s="104" t="str">
        <f>' '!G84</f>
        <v/>
      </c>
      <c r="G76" s="103" t="str">
        <f>' '!O84</f>
        <v xml:space="preserve"> </v>
      </c>
      <c r="I76" s="104" t="str">
        <f>' '!M84</f>
        <v/>
      </c>
      <c r="M76" s="104" t="str">
        <f>' '!I84</f>
        <v/>
      </c>
      <c r="N76" s="104" t="str">
        <f>' '!J84</f>
        <v/>
      </c>
      <c r="O76" s="104" t="str">
        <f>' '!K84</f>
        <v xml:space="preserve"> </v>
      </c>
      <c r="Q76" s="109" t="str">
        <f>' '!P84</f>
        <v/>
      </c>
      <c r="R76" s="104" t="str">
        <f>' '!Q84</f>
        <v/>
      </c>
    </row>
    <row r="77" spans="1:18" x14ac:dyDescent="0.35">
      <c r="A77" s="111" t="str">
        <f>' '!A85</f>
        <v/>
      </c>
      <c r="B77" s="113" t="str">
        <f>' '!B85</f>
        <v/>
      </c>
      <c r="C77" s="111" t="str">
        <f>' '!D85</f>
        <v/>
      </c>
      <c r="D77" s="103" t="str">
        <f>' '!H85</f>
        <v/>
      </c>
      <c r="E77" s="103" t="str">
        <f>' '!F85</f>
        <v/>
      </c>
      <c r="F77" s="104" t="str">
        <f>' '!G85</f>
        <v/>
      </c>
      <c r="G77" s="103" t="str">
        <f>' '!O85</f>
        <v xml:space="preserve"> </v>
      </c>
      <c r="I77" s="104" t="str">
        <f>' '!M85</f>
        <v/>
      </c>
      <c r="M77" s="104" t="str">
        <f>' '!I85</f>
        <v/>
      </c>
      <c r="N77" s="104" t="str">
        <f>' '!J85</f>
        <v xml:space="preserve"> </v>
      </c>
      <c r="O77" s="104" t="str">
        <f>' '!K85</f>
        <v/>
      </c>
      <c r="Q77" s="109" t="str">
        <f>' '!P85</f>
        <v/>
      </c>
      <c r="R77" s="104" t="str">
        <f>' '!Q85</f>
        <v/>
      </c>
    </row>
    <row r="78" spans="1:18" x14ac:dyDescent="0.35">
      <c r="A78" s="101" t="str">
        <f>' '!A86</f>
        <v/>
      </c>
      <c r="D78" s="103" t="str">
        <f>' '!H86</f>
        <v/>
      </c>
    </row>
    <row r="79" spans="1:18" x14ac:dyDescent="0.35">
      <c r="A79" s="101" t="str">
        <f>' '!A87</f>
        <v/>
      </c>
    </row>
    <row r="80" spans="1:18" x14ac:dyDescent="0.35">
      <c r="A80" s="101" t="str">
        <f>' '!A88</f>
        <v/>
      </c>
    </row>
    <row r="81" spans="1:1" x14ac:dyDescent="0.35">
      <c r="A81" s="101" t="str">
        <f>' '!A89</f>
        <v/>
      </c>
    </row>
  </sheetData>
  <protectedRanges>
    <protectedRange password="CC39" sqref="C5:C6" name="Диапазон1"/>
  </protectedRanges>
  <mergeCells count="24">
    <mergeCell ref="A9:B9"/>
    <mergeCell ref="E7:F7"/>
    <mergeCell ref="E8:F8"/>
    <mergeCell ref="A4:B4"/>
    <mergeCell ref="A7:B7"/>
    <mergeCell ref="A8:B8"/>
    <mergeCell ref="A5:B5"/>
    <mergeCell ref="A6:B6"/>
    <mergeCell ref="E4:F4"/>
    <mergeCell ref="E5:F5"/>
    <mergeCell ref="E6:F6"/>
    <mergeCell ref="A11:A14"/>
    <mergeCell ref="B11:B14"/>
    <mergeCell ref="C11:C14"/>
    <mergeCell ref="D11:D14"/>
    <mergeCell ref="E11:P11"/>
    <mergeCell ref="R11:R14"/>
    <mergeCell ref="E12:E14"/>
    <mergeCell ref="F12:F14"/>
    <mergeCell ref="G12:P12"/>
    <mergeCell ref="G13:J13"/>
    <mergeCell ref="K13:L13"/>
    <mergeCell ref="M13:P13"/>
    <mergeCell ref="Q11:Q1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Лист1!$A$1:$A$5</xm:f>
          </x14:formula1>
          <xm:sqref>C6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activeCell="A6" sqref="A6"/>
    </sheetView>
  </sheetViews>
  <sheetFormatPr defaultRowHeight="14.5" x14ac:dyDescent="0.35"/>
  <sheetData>
    <row r="1" spans="1:1" x14ac:dyDescent="0.25">
      <c r="A1">
        <v>12</v>
      </c>
    </row>
    <row r="2" spans="1:1" x14ac:dyDescent="0.25">
      <c r="A2">
        <v>24</v>
      </c>
    </row>
    <row r="3" spans="1:1" x14ac:dyDescent="0.25">
      <c r="A3">
        <v>36</v>
      </c>
    </row>
    <row r="4" spans="1:1" x14ac:dyDescent="0.35">
      <c r="A4">
        <v>48</v>
      </c>
    </row>
    <row r="5" spans="1:1" x14ac:dyDescent="0.35">
      <c r="A5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паспорт</vt:lpstr>
      <vt:lpstr> </vt:lpstr>
      <vt:lpstr>графік платежів</vt:lpstr>
      <vt:lpstr>Лист1</vt:lpstr>
      <vt:lpstr>' '!Область_печати</vt:lpstr>
      <vt:lpstr>паспорт!Область_печати</vt:lpstr>
    </vt:vector>
  </TitlesOfParts>
  <Company>PJSC CB "PRAVEX-BANK"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Shpakivskyi Oleksandr Mykhailovych</dc:creator>
  <cp:lastModifiedBy>Кубаєнко Леонід Миколайович</cp:lastModifiedBy>
  <cp:lastPrinted>2021-01-29T09:27:21Z</cp:lastPrinted>
  <dcterms:created xsi:type="dcterms:W3CDTF">2017-10-13T07:54:03Z</dcterms:created>
  <dcterms:modified xsi:type="dcterms:W3CDTF">2024-11-06T16:06:16Z</dcterms:modified>
</cp:coreProperties>
</file>