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firstSheet="2" activeTab="2"/>
  </bookViews>
  <sheets>
    <sheet name="паспорт" sheetId="1" state="hidden" r:id="rId1"/>
    <sheet name=" " sheetId="3" state="hidden" r:id="rId2"/>
    <sheet name="графік платежів" sheetId="10" r:id="rId3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N3" i="3" l="1"/>
  <c r="B52" i="1" l="1"/>
  <c r="B51" i="1"/>
  <c r="B50" i="1"/>
  <c r="D5" i="10"/>
  <c r="D6" i="10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10" i="3"/>
  <c r="N9" i="3"/>
  <c r="N8" i="3"/>
  <c r="N7" i="3"/>
  <c r="N5" i="3"/>
  <c r="B38" i="1" s="1"/>
  <c r="D9" i="3"/>
  <c r="D6" i="3"/>
  <c r="O25" i="3" l="1"/>
  <c r="G17" i="10" s="1"/>
  <c r="O10" i="3"/>
  <c r="G9" i="3"/>
  <c r="O26" i="3"/>
  <c r="G18" i="10" s="1"/>
  <c r="P26" i="3" l="1"/>
  <c r="Q18" i="10" s="1"/>
  <c r="P25" i="3"/>
  <c r="Q17" i="10" s="1"/>
  <c r="B24" i="3" l="1"/>
  <c r="C24" i="3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5" i="3"/>
  <c r="G27" i="10" s="1"/>
  <c r="O34" i="3"/>
  <c r="G26" i="10" s="1"/>
  <c r="N34" i="3"/>
  <c r="M34" i="3"/>
  <c r="I26" i="10" s="1"/>
  <c r="B33" i="3"/>
  <c r="B25" i="10" s="1"/>
  <c r="P3" i="3"/>
  <c r="B37" i="1" s="1"/>
  <c r="J34" i="3" l="1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H25" i="3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D17" i="10" l="1"/>
  <c r="C55" i="3"/>
  <c r="B47" i="10"/>
  <c r="N48" i="10"/>
  <c r="J57" i="3"/>
  <c r="N23" i="10"/>
  <c r="M23" i="10"/>
  <c r="F26" i="3"/>
  <c r="E18" i="10" s="1"/>
  <c r="F18" i="10"/>
  <c r="R25" i="3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O61" i="3"/>
  <c r="G53" i="10" s="1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G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73" i="3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65" i="10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P73" i="3"/>
  <c r="Q65" i="10" s="1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D43" i="10" s="1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G52" i="3" l="1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D44" i="10" s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R52" i="3" l="1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D45" i="10" s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R53" i="3" l="1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D46" i="10" s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R54" i="3" l="1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D47" i="10" s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R55" i="3" l="1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Q61" i="3" l="1"/>
  <c r="R53" i="10" s="1"/>
  <c r="H61" i="3"/>
  <c r="E61" i="3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D53" i="10" l="1"/>
  <c r="P62" i="3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D64" i="10" s="1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K73" i="3" l="1"/>
  <c r="O65" i="10" s="1"/>
  <c r="G73" i="3"/>
  <c r="F65" i="10" s="1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73" i="3" l="1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H73" i="3" l="1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D77" i="10" l="1"/>
  <c r="P86" i="3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L29" i="3" l="1"/>
  <c r="P265" i="3" l="1"/>
  <c r="R29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Q37" i="3"/>
  <c r="R29" i="10" s="1"/>
  <c r="M16" i="10"/>
  <c r="I49" i="3"/>
  <c r="P49" i="3"/>
  <c r="Q85" i="3"/>
  <c r="P37" i="3" l="1"/>
  <c r="R37" i="3" s="1"/>
  <c r="P61" i="3"/>
  <c r="P85" i="3"/>
  <c r="Q77" i="10" s="1"/>
  <c r="R24" i="3"/>
  <c r="D16" i="10"/>
  <c r="M41" i="10"/>
  <c r="Q49" i="3"/>
  <c r="R49" i="3" s="1"/>
  <c r="Q41" i="10"/>
  <c r="R77" i="10"/>
  <c r="Q29" i="10" l="1"/>
  <c r="Q53" i="10"/>
  <c r="R61" i="3"/>
  <c r="R85" i="3"/>
  <c r="B45" i="1"/>
  <c r="B44" i="1"/>
  <c r="B43" i="1" s="1"/>
  <c r="R41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<sst xmlns="http://schemas.openxmlformats.org/spreadsheetml/2006/main" count="243" uniqueCount="154">
  <si>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</si>
  <si>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</si>
  <si>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</si>
  <si>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</si>
  <si>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</si>
  <si>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</si>
  <si>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</si>
  <si>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</si>
  <si>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</si>
  <si>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</si>
  <si>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</si>
  <si>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</si>
  <si>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</si>
  <si>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</si>
  <si>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</si>
  <si>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</si>
  <si>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</si>
  <si>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</si>
  <si>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</si>
  <si>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</si>
  <si>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</si>
  <si>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</si>
  <si>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</si>
  <si>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</si>
  <si>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</si>
  <si>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</si>
  <si>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</si>
  <si>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</si>
  <si>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</si>
  <si>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</si>
  <si>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</si>
  <si>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</si>
  <si>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</si>
  <si>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</si>
  <si>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</si>
  <si>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</si>
  <si>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</si>
  <si>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</si>
  <si>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</si>
  <si>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</si>
  <si>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</si>
  <si>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</si>
  <si>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</si>
  <si>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</si>
  <si>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</si>
  <si>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</si>
  <si>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</si>
  <si>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</si>
  <si>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</si>
  <si>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</si>
  <si>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</si>
  <si>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</si>
  <si>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</si>
  <si>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</si>
  <si>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</si>
  <si>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</si>
  <si>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</si>
  <si>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</si>
  <si>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</si>
  <si>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</si>
  <si>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</si>
  <si>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</si>
  <si>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</si>
  <si>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</si>
  <si>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</si>
  <si>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</si>
  <si>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</si>
  <si>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</si>
  <si>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</si>
  <si>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</si>
  <si>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</si>
  <si>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</si>
  <si>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</si>
  <si>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</si>
  <si>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</si>
  <si>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</si>
  <si>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</si>
  <si>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</si>
  <si>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</si>
  <si>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</si>
  <si>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</si>
  <si>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</si>
  <si>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</si>
  <si>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</si>
  <si>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</si>
  <si>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</si>
  <si>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</si>
  <si>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</si>
  <si>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</si>
  <si>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</si>
  <si>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</si>
  <si>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</si>
  <si>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</si>
  <si>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</si>
  <si>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</si>
  <si>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</si>
  <si>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</si>
  <si>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</si>
  <si>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</si>
  <si>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</si>
  <si>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</si>
  <si>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</si>
  <si>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</si>
  <si>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</si>
  <si>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</si>
  <si>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</si>
  <si>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</si>
  <si>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</si>
  <si>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</si>
  <si>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</si>
  <si>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</si>
  <si>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</si>
  <si>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</si>
  <si>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</si>
  <si>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</si>
  <si>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</si>
  <si>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</si>
  <si>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</si>
  <si>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</si>
  <si>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</si>
  <si>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</si>
  <si>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</si>
  <si>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</si>
  <si>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</si>
  <si>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</si>
  <si>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</si>
  <si>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</si>
  <si>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</si>
  <si>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</si>
  <si>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</si>
  <si>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</si>
  <si>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</si>
  <si>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</si>
  <si>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</si>
  <si>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</si>
  <si>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</si>
  <si>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</si>
  <si>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</si>
  <si>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</si>
  <si>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</si>
  <si>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</si>
  <si>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</si>
  <si>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</si>
  <si>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</si>
  <si>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</si>
  <si>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</si>
  <si>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</si>
  <si>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</si>
  <si>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</si>
  <si>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>Разова комісія</t>
  </si>
  <si>
    <t xml:space="preserve">споживчий кредит </t>
  </si>
  <si>
    <t>Платежі за супровідні послуги третіх осіб, обов'язкові для укладення договору/отримання кредиту, грн:</t>
  </si>
  <si>
    <t>Платежі за супровідні послуги кредитодавця, обов'язкові для укладання договору, грн.:</t>
  </si>
  <si>
    <t xml:space="preserve">Паспорт споживчого кредиту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</si>
</sst>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  <xf numFmtId="9" fontId="0" fillId="0" borderId="0" xfId="0" applyNumberFormat="1"/>
    <xf numFmtId="0" fontId="8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9" fillId="0" borderId="23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25" workbookViewId="0">
      <selection activeCell="G10" sqref="G10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124" t="s">
        <v>153</v>
      </c>
      <c r="B3" s="124"/>
      <c r="C3" s="124"/>
      <c r="D3" s="88"/>
      <c r="E3" s="8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26" t="s">
        <v>109</v>
      </c>
      <c r="B4" s="127"/>
      <c r="C4" s="127"/>
      <c r="D4" s="88"/>
      <c r="E4" s="8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46" t="s">
        <v>0</v>
      </c>
      <c r="B5" s="147" t="s">
        <v>99</v>
      </c>
      <c r="C5" s="147"/>
      <c r="D5" s="88"/>
      <c r="E5" s="8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46"/>
      <c r="B6" s="147"/>
      <c r="C6" s="147"/>
      <c r="D6" s="88"/>
      <c r="E6" s="8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46"/>
      <c r="B7" s="147"/>
      <c r="C7" s="147"/>
      <c r="D7" s="88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46" t="s">
        <v>1</v>
      </c>
      <c r="B8" s="147" t="s">
        <v>100</v>
      </c>
      <c r="C8" s="147"/>
      <c r="D8" s="88"/>
      <c r="E8" s="8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46"/>
      <c r="B9" s="147"/>
      <c r="C9" s="147"/>
      <c r="D9" s="88"/>
      <c r="E9" s="8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46"/>
      <c r="B10" s="147"/>
      <c r="C10" s="147"/>
      <c r="D10" s="88"/>
      <c r="E10" s="8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89" t="s">
        <v>2</v>
      </c>
      <c r="B11" s="125" t="s">
        <v>101</v>
      </c>
      <c r="C11" s="125"/>
      <c r="D11" s="88"/>
      <c r="E11" s="8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89" t="s">
        <v>3</v>
      </c>
      <c r="B12" s="125" t="s">
        <v>102</v>
      </c>
      <c r="C12" s="125"/>
      <c r="D12" s="88"/>
      <c r="E12" s="8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89" t="s">
        <v>4</v>
      </c>
      <c r="B13" s="148" t="s">
        <v>103</v>
      </c>
      <c r="C13" s="125"/>
      <c r="D13" s="88"/>
      <c r="E13" s="8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89" t="s">
        <v>5</v>
      </c>
      <c r="B14" s="148" t="s">
        <v>104</v>
      </c>
      <c r="C14" s="125"/>
      <c r="D14" s="88"/>
      <c r="E14" s="8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30" t="s">
        <v>110</v>
      </c>
      <c r="B15" s="130"/>
      <c r="C15" s="130"/>
      <c r="D15" s="88"/>
      <c r="E15" s="8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0" t="s">
        <v>67</v>
      </c>
      <c r="B16" s="140" t="s">
        <v>50</v>
      </c>
      <c r="C16" s="141"/>
      <c r="D16" s="88"/>
      <c r="E16" s="8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0" t="s">
        <v>68</v>
      </c>
      <c r="B17" s="140" t="s">
        <v>50</v>
      </c>
      <c r="C17" s="141"/>
      <c r="D17" s="88"/>
      <c r="E17" s="8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0" t="s">
        <v>3</v>
      </c>
      <c r="B18" s="140" t="s">
        <v>50</v>
      </c>
      <c r="C18" s="141"/>
      <c r="D18" s="88"/>
      <c r="E18" s="8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0" t="s">
        <v>4</v>
      </c>
      <c r="B19" s="140" t="s">
        <v>50</v>
      </c>
      <c r="C19" s="141"/>
      <c r="D19" s="88"/>
      <c r="E19" s="8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0" t="s">
        <v>69</v>
      </c>
      <c r="B20" s="140" t="s">
        <v>50</v>
      </c>
      <c r="C20" s="141"/>
      <c r="D20" s="88"/>
      <c r="E20" s="8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30" t="s">
        <v>6</v>
      </c>
      <c r="B21" s="130"/>
      <c r="C21" s="130"/>
      <c r="D21" s="88"/>
      <c r="E21" s="8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89" t="s">
        <v>7</v>
      </c>
      <c r="B22" s="125" t="s">
        <v>111</v>
      </c>
      <c r="C22" s="125"/>
      <c r="D22" s="88"/>
      <c r="E22" s="8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89" t="s">
        <v>8</v>
      </c>
      <c r="B23" s="139">
        <f>' '!D6</f>
        <v>25001</v>
      </c>
      <c r="C23" s="139"/>
      <c r="D23" s="88"/>
      <c r="E23" s="8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89" t="s">
        <v>70</v>
      </c>
      <c r="B24" s="125" t="str">
        <f>CONCATENATE(E24,D24)</f>
        <v>36 міс.</v>
      </c>
      <c r="C24" s="125"/>
      <c r="D24" s="10" t="s">
        <v>71</v>
      </c>
      <c r="E24" s="10">
        <f>' '!D8</f>
        <v>36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31" t="s">
        <v>9</v>
      </c>
      <c r="B25" s="125" t="s">
        <v>150</v>
      </c>
      <c r="C25" s="125"/>
      <c r="D25" s="88"/>
      <c r="E25" s="8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31"/>
      <c r="B26" s="125"/>
      <c r="C26" s="125"/>
      <c r="D26" s="88"/>
      <c r="E26" s="8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3" t="s">
        <v>10</v>
      </c>
      <c r="B27" s="125" t="s">
        <v>112</v>
      </c>
      <c r="C27" s="144"/>
      <c r="D27" s="88"/>
      <c r="E27" s="8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2" t="s">
        <v>11</v>
      </c>
      <c r="B28" s="142"/>
      <c r="C28" s="143"/>
      <c r="D28" s="88"/>
      <c r="E28" s="8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2" t="s">
        <v>12</v>
      </c>
      <c r="B29" s="125"/>
      <c r="C29" s="144"/>
      <c r="D29" s="88"/>
      <c r="E29" s="8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46" t="s">
        <v>13</v>
      </c>
      <c r="B30" s="145" t="s">
        <v>62</v>
      </c>
      <c r="C30" s="125"/>
      <c r="D30" s="88"/>
      <c r="E30" s="8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46"/>
      <c r="B31" s="125"/>
      <c r="C31" s="125"/>
      <c r="D31" s="88"/>
      <c r="E31" s="8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30" t="s">
        <v>95</v>
      </c>
      <c r="B32" s="130"/>
      <c r="C32" s="130"/>
      <c r="D32" s="88"/>
      <c r="E32" s="8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2" t="s">
        <v>118</v>
      </c>
      <c r="B33" s="134">
        <f>' '!D9</f>
        <v>0.49</v>
      </c>
      <c r="C33" s="134"/>
      <c r="D33" s="88"/>
      <c r="E33" s="8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2" t="s">
        <v>14</v>
      </c>
      <c r="B34" s="125" t="s">
        <v>98</v>
      </c>
      <c r="C34" s="125"/>
      <c r="D34" s="88"/>
      <c r="E34" s="8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2" t="s">
        <v>15</v>
      </c>
      <c r="B35" s="125"/>
      <c r="C35" s="125"/>
      <c r="D35" s="88"/>
      <c r="E35" s="8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30" x14ac:dyDescent="0.25">
      <c r="A36" s="92" t="s">
        <v>152</v>
      </c>
      <c r="B36" s="125" t="s">
        <v>16</v>
      </c>
      <c r="C36" s="125"/>
      <c r="D36" s="88"/>
      <c r="E36" s="8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2" t="s">
        <v>57</v>
      </c>
      <c r="B37" s="134">
        <f>' '!P3</f>
        <v>0.06</v>
      </c>
      <c r="C37" s="134"/>
      <c r="D37" s="88"/>
      <c r="E37" s="8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2" t="s">
        <v>146</v>
      </c>
      <c r="B38" s="138">
        <f>' '!N5</f>
        <v>0</v>
      </c>
      <c r="C38" s="125"/>
      <c r="D38" s="88"/>
      <c r="E38" s="8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2" t="s">
        <v>147</v>
      </c>
      <c r="B39" s="139">
        <f>' '!P9</f>
        <v>0</v>
      </c>
      <c r="C39" s="130"/>
      <c r="D39" s="88"/>
      <c r="E39" s="8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2"/>
      <c r="B40" s="91"/>
      <c r="C40" s="9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28" t="s">
        <v>72</v>
      </c>
      <c r="B41" s="136"/>
      <c r="C41" s="13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5" t="s">
        <v>73</v>
      </c>
      <c r="B42" s="140" t="s">
        <v>50</v>
      </c>
      <c r="C42" s="14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2" t="s">
        <v>17</v>
      </c>
      <c r="B43" s="139">
        <f>B44-B23</f>
        <v>24535.22</v>
      </c>
      <c r="C43" s="13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2" t="s">
        <v>18</v>
      </c>
      <c r="B44" s="139">
        <f>SUM(' '!Q25:Q85)</f>
        <v>49536.22</v>
      </c>
      <c r="C44" s="13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2" t="s">
        <v>19</v>
      </c>
      <c r="B45" s="133">
        <f>SUM(' '!P24:P266)</f>
        <v>0.70417424440383902</v>
      </c>
      <c r="C45" s="13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31" t="s">
        <v>20</v>
      </c>
      <c r="B46" s="131"/>
      <c r="C46" s="131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31" t="s">
        <v>21</v>
      </c>
      <c r="B47" s="131"/>
      <c r="C47" s="131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31" t="s">
        <v>22</v>
      </c>
      <c r="B48" s="131"/>
      <c r="C48" s="131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2" t="s">
        <v>151</v>
      </c>
      <c r="B49" s="125" t="s">
        <v>16</v>
      </c>
      <c r="C49" s="125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2" t="s">
        <v>94</v>
      </c>
      <c r="B50" s="135" t="str">
        <f t="shared" ref="B50:B52" si="0">IF(D50=0,E50,CONCATENATE(E50,D50))</f>
        <v>ні</v>
      </c>
      <c r="C50" s="135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2" t="s">
        <v>76</v>
      </c>
      <c r="B51" s="135" t="str">
        <f t="shared" si="0"/>
        <v>ні</v>
      </c>
      <c r="C51" s="135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2" t="s">
        <v>77</v>
      </c>
      <c r="B52" s="135" t="str">
        <f t="shared" si="0"/>
        <v>ні</v>
      </c>
      <c r="C52" s="135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2" t="s">
        <v>78</v>
      </c>
      <c r="B53" s="135" t="str">
        <f>IF(D53=0,E53,CONCATENATE(E53,D53))</f>
        <v>ні</v>
      </c>
      <c r="C53" s="135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30" t="s">
        <v>23</v>
      </c>
      <c r="B54" s="130"/>
      <c r="C54" s="130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2" t="s">
        <v>24</v>
      </c>
      <c r="B55" s="125" t="s">
        <v>114</v>
      </c>
      <c r="C55" s="14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30" t="s">
        <v>25</v>
      </c>
      <c r="B56" s="130"/>
      <c r="C56" s="130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2" t="s">
        <v>113</v>
      </c>
      <c r="B57" s="125" t="s">
        <v>74</v>
      </c>
      <c r="C57" s="12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2" t="s">
        <v>26</v>
      </c>
      <c r="B58" s="131" t="s">
        <v>115</v>
      </c>
      <c r="C58" s="13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5" t="s">
        <v>75</v>
      </c>
      <c r="B59" s="128" t="s">
        <v>50</v>
      </c>
      <c r="C59" s="1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7" t="s">
        <v>116</v>
      </c>
      <c r="B60" s="128" t="s">
        <v>117</v>
      </c>
      <c r="C60" s="1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2" t="s">
        <v>27</v>
      </c>
      <c r="B61" s="128" t="s">
        <v>117</v>
      </c>
      <c r="C61" s="1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30" t="s">
        <v>28</v>
      </c>
      <c r="B62" s="130"/>
      <c r="C62" s="130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25" t="s">
        <v>29</v>
      </c>
      <c r="B63" s="125"/>
      <c r="C63" s="12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2" t="s">
        <v>30</v>
      </c>
      <c r="B64" s="125" t="s">
        <v>148</v>
      </c>
      <c r="C64" s="12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25" t="s">
        <v>65</v>
      </c>
      <c r="B65" s="125"/>
      <c r="C65" s="12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25" t="s">
        <v>31</v>
      </c>
      <c r="B66" s="125"/>
      <c r="C66" s="12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25" t="str">
        <f ca="1">CONCATENATE(E68,TEXT(D68,"ДД.ММ.ГГГГ"))</f>
        <v>Дата надання інформації: ДД.ММ.ГГГГ</v>
      </c>
      <c r="B67" s="125" t="str">
        <f ca="1">CONCATENATE(E69,TEXT(D69,"ДД.ММ.ГГГГ"))</f>
        <v>Ця інформація зберігає чинність та є актуальною до ДД.ММ.ГГГГ</v>
      </c>
      <c r="C67" s="12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25"/>
      <c r="B68" s="125"/>
      <c r="C68" s="125"/>
      <c r="D68" s="24">
        <f ca="1">TODAY()</f>
        <v>44467</v>
      </c>
      <c r="E68" s="10" t="s">
        <v>96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1"/>
      <c r="B69" s="125" t="s">
        <v>33</v>
      </c>
      <c r="C69" s="125"/>
      <c r="D69" s="24">
        <f ca="1">EDATE(D68,' '!D8)</f>
        <v>45563</v>
      </c>
      <c r="E69" s="149" t="s">
        <v>97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6" t="s">
        <v>32</v>
      </c>
      <c r="B70" s="125"/>
      <c r="C70" s="125"/>
      <c r="D70" s="10"/>
      <c r="E70" s="14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25" t="s">
        <v>34</v>
      </c>
      <c r="B71" s="125"/>
      <c r="C71" s="12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25" t="s">
        <v>35</v>
      </c>
      <c r="B72" s="125"/>
      <c r="C72" s="12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1"/>
      <c r="B73" s="125" t="s">
        <v>37</v>
      </c>
      <c r="C73" s="12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6" t="s">
        <v>36</v>
      </c>
      <c r="B74" s="125"/>
      <c r="C74" s="12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sheetProtection password="C675" sheet="1" objects="1" scenarios="1"/>
  <mergeCells count="68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38:C38"/>
    <mergeCell ref="B39:C39"/>
    <mergeCell ref="B43:C43"/>
    <mergeCell ref="B44:C44"/>
    <mergeCell ref="B42:C42"/>
    <mergeCell ref="B52:C52"/>
    <mergeCell ref="B50:C50"/>
    <mergeCell ref="B51:C51"/>
    <mergeCell ref="A41:C41"/>
    <mergeCell ref="B53:C53"/>
    <mergeCell ref="A3:C3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N4" sqref="N4:O4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71" t="s">
        <v>120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25"/>
      <c r="Y1" s="26" t="s">
        <v>90</v>
      </c>
      <c r="Z1" s="26" t="s">
        <v>91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88" t="s">
        <v>105</v>
      </c>
      <c r="C3" s="188"/>
      <c r="D3" s="185">
        <f>'графік платежів'!C4</f>
        <v>44197</v>
      </c>
      <c r="E3" s="185"/>
      <c r="F3" s="185"/>
      <c r="G3" s="31"/>
      <c r="H3" s="157" t="s">
        <v>66</v>
      </c>
      <c r="I3" s="157"/>
      <c r="J3" s="157"/>
      <c r="K3" s="157"/>
      <c r="L3" s="157"/>
      <c r="M3" s="157"/>
      <c r="N3" s="158">
        <f>'графік платежів'!C9</f>
        <v>0.06</v>
      </c>
      <c r="O3" s="158"/>
      <c r="P3" s="32">
        <f>N3</f>
        <v>0.06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72" t="s">
        <v>119</v>
      </c>
      <c r="C4" s="173"/>
      <c r="D4" s="176">
        <v>1000000</v>
      </c>
      <c r="E4" s="176"/>
      <c r="F4" s="176"/>
      <c r="G4" s="35"/>
      <c r="H4" s="159" t="s">
        <v>49</v>
      </c>
      <c r="I4" s="159"/>
      <c r="J4" s="159"/>
      <c r="K4" s="159"/>
      <c r="L4" s="159"/>
      <c r="M4" s="159"/>
      <c r="N4" s="160">
        <f>N3*D6</f>
        <v>1500.06</v>
      </c>
      <c r="O4" s="160"/>
      <c r="P4" s="36">
        <f>D6*P3</f>
        <v>1500.06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74"/>
      <c r="C5" s="175"/>
      <c r="D5" s="177"/>
      <c r="E5" s="177"/>
      <c r="F5" s="177"/>
      <c r="G5" s="37"/>
      <c r="H5" s="38" t="s">
        <v>63</v>
      </c>
      <c r="I5" s="39"/>
      <c r="J5" s="39"/>
      <c r="K5" s="39"/>
      <c r="L5" s="39"/>
      <c r="M5" s="39"/>
      <c r="N5" s="158">
        <f>'графік платежів'!C8</f>
        <v>0</v>
      </c>
      <c r="O5" s="158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8" t="s">
        <v>40</v>
      </c>
      <c r="C6" s="179"/>
      <c r="D6" s="176">
        <f>'графік платежів'!C5</f>
        <v>25001</v>
      </c>
      <c r="E6" s="176"/>
      <c r="F6" s="176"/>
      <c r="G6" s="5"/>
      <c r="H6" s="169" t="s">
        <v>79</v>
      </c>
      <c r="I6" s="161" t="s">
        <v>85</v>
      </c>
      <c r="J6" s="161"/>
      <c r="K6" s="161"/>
      <c r="L6" s="161"/>
      <c r="M6" s="161"/>
      <c r="N6" s="161"/>
      <c r="O6" s="161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80"/>
      <c r="C7" s="181"/>
      <c r="D7" s="177"/>
      <c r="E7" s="177"/>
      <c r="F7" s="177"/>
      <c r="G7" s="42"/>
      <c r="H7" s="170"/>
      <c r="I7" s="162" t="s">
        <v>86</v>
      </c>
      <c r="J7" s="163"/>
      <c r="K7" s="163"/>
      <c r="L7" s="163"/>
      <c r="M7" s="163"/>
      <c r="N7" s="164">
        <f>'графік платежів'!G6</f>
        <v>0</v>
      </c>
      <c r="O7" s="165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58</v>
      </c>
    </row>
    <row r="8" spans="1:29" ht="19.5" customHeight="1" x14ac:dyDescent="0.25">
      <c r="A8" s="27"/>
      <c r="B8" s="183" t="s">
        <v>39</v>
      </c>
      <c r="C8" s="184"/>
      <c r="D8" s="186">
        <f>'графік платежів'!C6</f>
        <v>36</v>
      </c>
      <c r="E8" s="186"/>
      <c r="F8" s="186"/>
      <c r="G8" s="85" t="str">
        <f>IF(D8&gt;120,"Макс. строк- 60 міс."," ")</f>
        <v xml:space="preserve"> </v>
      </c>
      <c r="H8" s="170"/>
      <c r="I8" s="162" t="s">
        <v>107</v>
      </c>
      <c r="J8" s="163"/>
      <c r="K8" s="163"/>
      <c r="L8" s="163"/>
      <c r="M8" s="163"/>
      <c r="N8" s="77">
        <f>'графік платежів'!G8</f>
        <v>0</v>
      </c>
      <c r="O8" s="78">
        <f>N8*D4</f>
        <v>0</v>
      </c>
      <c r="P8" s="45">
        <f>P4</f>
        <v>1500.06</v>
      </c>
      <c r="Q8" s="46"/>
      <c r="R8" s="46"/>
      <c r="T8" s="26" t="s">
        <v>55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59</v>
      </c>
      <c r="AB8" s="26" t="s">
        <v>53</v>
      </c>
      <c r="AC8" s="26">
        <v>1700</v>
      </c>
    </row>
    <row r="9" spans="1:29" ht="21" customHeight="1" x14ac:dyDescent="0.25">
      <c r="A9" s="27"/>
      <c r="B9" s="183" t="s">
        <v>38</v>
      </c>
      <c r="C9" s="184"/>
      <c r="D9" s="187">
        <f>'графік платежів'!C7</f>
        <v>0.49</v>
      </c>
      <c r="E9" s="187"/>
      <c r="F9" s="187"/>
      <c r="G9" s="98">
        <f>-PMT(D9/12,D8,D6)</f>
        <v>1337.5234230596025</v>
      </c>
      <c r="H9" s="170"/>
      <c r="I9" s="79" t="s">
        <v>87</v>
      </c>
      <c r="J9" s="80"/>
      <c r="K9" s="80"/>
      <c r="L9" s="80"/>
      <c r="M9" s="80"/>
      <c r="N9" s="164">
        <f>'графік платежів'!G7</f>
        <v>0</v>
      </c>
      <c r="O9" s="165"/>
      <c r="P9" s="41">
        <f>P5</f>
        <v>0</v>
      </c>
      <c r="Q9" s="28"/>
      <c r="R9" s="28"/>
      <c r="T9" s="26" t="s">
        <v>56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83" t="s">
        <v>106</v>
      </c>
      <c r="C10" s="184"/>
      <c r="D10" s="189">
        <f>EDATE(D3,D8)</f>
        <v>45292</v>
      </c>
      <c r="E10" s="189"/>
      <c r="F10" s="189"/>
      <c r="G10" s="6"/>
      <c r="H10" s="170"/>
      <c r="I10" s="162" t="s">
        <v>108</v>
      </c>
      <c r="J10" s="163"/>
      <c r="K10" s="163"/>
      <c r="L10" s="163"/>
      <c r="M10" s="163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52</v>
      </c>
      <c r="D11" s="182"/>
      <c r="E11" s="182"/>
      <c r="F11" s="182"/>
      <c r="G11" s="14"/>
      <c r="H11" s="170"/>
      <c r="I11" s="79" t="s">
        <v>83</v>
      </c>
      <c r="J11" s="80"/>
      <c r="K11" s="80"/>
      <c r="L11" s="80"/>
      <c r="M11" s="80"/>
      <c r="N11" s="164">
        <v>0</v>
      </c>
      <c r="O11" s="165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64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66"/>
      <c r="O12" s="167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51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66"/>
      <c r="O13" s="167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93</v>
      </c>
      <c r="D14" s="32"/>
      <c r="E14" s="55"/>
      <c r="F14" s="32">
        <v>0.1699</v>
      </c>
      <c r="G14" s="7"/>
      <c r="H14" s="56" t="s">
        <v>88</v>
      </c>
      <c r="I14" s="57"/>
      <c r="J14" s="57"/>
      <c r="K14" s="57"/>
      <c r="L14" s="58"/>
      <c r="M14" s="59" t="s">
        <v>89</v>
      </c>
      <c r="N14" s="168">
        <v>0</v>
      </c>
      <c r="O14" s="168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93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55" t="s">
        <v>41</v>
      </c>
      <c r="B22" s="81" t="s">
        <v>42</v>
      </c>
      <c r="C22" s="155" t="s">
        <v>42</v>
      </c>
      <c r="D22" s="82" t="s">
        <v>43</v>
      </c>
      <c r="E22" s="155" t="s">
        <v>44</v>
      </c>
      <c r="F22" s="155" t="s">
        <v>45</v>
      </c>
      <c r="G22" s="155" t="s">
        <v>46</v>
      </c>
      <c r="H22" s="155" t="s">
        <v>47</v>
      </c>
      <c r="I22" s="152" t="s">
        <v>79</v>
      </c>
      <c r="J22" s="153"/>
      <c r="K22" s="153"/>
      <c r="L22" s="154"/>
      <c r="M22" s="155" t="s">
        <v>48</v>
      </c>
      <c r="N22" s="155" t="s">
        <v>84</v>
      </c>
      <c r="O22" s="155" t="s">
        <v>121</v>
      </c>
      <c r="P22" s="155" t="s">
        <v>61</v>
      </c>
      <c r="Q22" s="155" t="s">
        <v>60</v>
      </c>
      <c r="R22" s="150" t="s">
        <v>92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56"/>
      <c r="B23" s="83"/>
      <c r="C23" s="156"/>
      <c r="D23" s="84"/>
      <c r="E23" s="156"/>
      <c r="F23" s="156"/>
      <c r="G23" s="156"/>
      <c r="H23" s="156"/>
      <c r="I23" s="83" t="s">
        <v>80</v>
      </c>
      <c r="J23" s="83" t="s">
        <v>81</v>
      </c>
      <c r="K23" s="83" t="s">
        <v>82</v>
      </c>
      <c r="L23" s="83" t="s">
        <v>83</v>
      </c>
      <c r="M23" s="156"/>
      <c r="N23" s="156"/>
      <c r="O23" s="156"/>
      <c r="P23" s="156"/>
      <c r="Q23" s="156"/>
      <c r="R23" s="151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25001</v>
      </c>
      <c r="F24" s="9"/>
      <c r="G24" s="9"/>
      <c r="H24" s="106">
        <f>-E24+I24+J24+K24+L24+M24+N24+O24</f>
        <v>-23500.94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1500.06</v>
      </c>
      <c r="N24" s="65">
        <f>N14</f>
        <v>0</v>
      </c>
      <c r="O24" s="105"/>
      <c r="P24" s="21" t="s">
        <v>143</v>
      </c>
      <c r="Q24" s="22" t="s">
        <v>143</v>
      </c>
      <c r="R24" s="65">
        <f>H24</f>
        <v>-23500.94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24703.926576940397</v>
      </c>
      <c r="F25" s="65">
        <f>IF(AND(A24="",A26=""),"",IF(A25="",ROUND(SUM($F24:F$25),2),IF(A25=$D$8,$E$24-ROUND(SUM($F24:F$25),2),($G$9-G25))))</f>
        <v>297.07342305960242</v>
      </c>
      <c r="G25" s="65">
        <f>IF(T25&lt;&gt;T24,ROUND(SUM(V25*$D$9*E24/T25,W25*$D$9*E24/T24),2),ROUND(E24*$D$9*D25/T24,2))</f>
        <v>1040.45</v>
      </c>
      <c r="H25" s="65">
        <f>IF(A24=$D$8,SUM($H24:H$25),IF(A24&gt;$D$8,"",F25+G25+O25))</f>
        <v>1337.5234230596025</v>
      </c>
      <c r="I25" s="69" t="s">
        <v>143</v>
      </c>
      <c r="J25" s="69" t="s">
        <v>143</v>
      </c>
      <c r="K25" s="69" t="s">
        <v>143</v>
      </c>
      <c r="L25" s="69"/>
      <c r="M25" s="68" t="s">
        <v>143</v>
      </c>
      <c r="N25" s="68"/>
      <c r="O25" s="65">
        <f>IF(A24=$D$8,SUM($O24:O$25),IF(A24&gt;$D$8," ",$N$5*$D$6))</f>
        <v>0</v>
      </c>
      <c r="P25" s="70" t="str">
        <f>IF(A24=$D$8,XIRR(H$24:H24,C$24:C24),"")</f>
        <v/>
      </c>
      <c r="Q25" s="71" t="s">
        <v>143</v>
      </c>
      <c r="R25" s="65">
        <f>SUM(H25:Q25)</f>
        <v>1337.5234230596025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24295.003153880796</v>
      </c>
      <c r="F26" s="65">
        <f>IF(AND(A25="",A27=""),"",IF(A26="",ROUND(SUM($F25:F$25),2),IF(A26=$D$8,$E$24-ROUND(SUM($F25:F$25),2),($G$9-G26))))</f>
        <v>408.92342305960244</v>
      </c>
      <c r="G26" s="65">
        <f>IF(A25=$D$8,ROUND(SUM($G$25:G25),2),IF(A26&gt;$D$8,"",IF(T26&lt;&gt;T25,ROUND(SUM(V26*$D$9*E25/T26,W26*$D$9*E25/T25),2),ROUND(E25*$D$9*D26/T25,2))))</f>
        <v>928.6</v>
      </c>
      <c r="H26" s="65">
        <f>IF(A25=$D$8,SUM($H$25:H25),IF(A25&gt;$D$8,"",F26+G26+O26))</f>
        <v>1337.5234230596025</v>
      </c>
      <c r="I26" s="74" t="s">
        <v>143</v>
      </c>
      <c r="J26" s="74"/>
      <c r="K26" s="74" t="s">
        <v>143</v>
      </c>
      <c r="L26" s="74"/>
      <c r="M26" s="68" t="s">
        <v>143</v>
      </c>
      <c r="N26" s="68"/>
      <c r="O26" s="65">
        <f>IF(A25=$D$8,SUM($O$25:O25),IF(A25&gt;$D$8," ",$N$5*$D$6))</f>
        <v>0</v>
      </c>
      <c r="P26" s="70" t="str">
        <f>IF(A25=$D$8,XIRR(H$24:H25,C$24:C25),"")</f>
        <v/>
      </c>
      <c r="Q26" s="71" t="s">
        <v>143</v>
      </c>
      <c r="R26" s="65">
        <f t="shared" ref="R26:R89" si="5">SUM(H26:Q26)</f>
        <v>1337.5234230596025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23968.549730821192</v>
      </c>
      <c r="F27" s="65">
        <f>IF(AND(A26="",A28=""),"",IF(A27="",ROUND(SUM($F$25:F26),2),IF(A27=$D$8,$E$24-ROUND(SUM($F$25:F26),2),($G$9-G27))))</f>
        <v>326.45342305960241</v>
      </c>
      <c r="G27" s="65">
        <f>IF(A26=$D$8,ROUND(SUM($G$25:G26),2),IF(A27&gt;$D$8,"",IF(T27&lt;&gt;T26,ROUND(SUM(V27*$D$9*E26/T27,W27*$D$9*E26/T26),2),ROUND(E26*$D$9*D27/T26,2))))</f>
        <v>1011.07</v>
      </c>
      <c r="H27" s="65">
        <f>IF(A26=$D$8,SUM($H$25:H26),IF(A26&gt;$D$8,"",F27+G27+O27))</f>
        <v>1337.5234230596025</v>
      </c>
      <c r="I27" s="74" t="s">
        <v>143</v>
      </c>
      <c r="J27" s="74"/>
      <c r="K27" s="74" t="s">
        <v>143</v>
      </c>
      <c r="L27" s="74"/>
      <c r="M27" s="68" t="s">
        <v>143</v>
      </c>
      <c r="N27" s="68"/>
      <c r="O27" s="65">
        <f>IF(A26=$D$8,SUM($O$25:O26),IF(A26&gt;$D$8," ",$N$5*$D$6))</f>
        <v>0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1337.5234230596025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23596.33630776159</v>
      </c>
      <c r="F28" s="65">
        <f>IF(AND(A27="",A29=""),"",IF(A28="",ROUND(SUM($F$25:F27),2),IF(A28=$D$8,$E$24-ROUND(SUM($F$25:F27),2),($G$9-G28))))</f>
        <v>372.21342305960252</v>
      </c>
      <c r="G28" s="65">
        <f>IF(A27=$D$8,ROUND(SUM($G$25:G27),2),IF(A28&gt;$D$8,"",IF(T28&lt;&gt;T27,ROUND(SUM(V28*$D$9*E27/T28,W28*$D$9*E27/T27),2),ROUND(E27*$D$9*D28/T27,2))))</f>
        <v>965.31</v>
      </c>
      <c r="H28" s="65">
        <f>IF(A27=$D$8,SUM($H$25:H27),IF(A27&gt;$D$8,"",F28+G28+O28))</f>
        <v>1337.5234230596025</v>
      </c>
      <c r="I28" s="74" t="s">
        <v>143</v>
      </c>
      <c r="J28" s="74"/>
      <c r="K28" s="74" t="s">
        <v>143</v>
      </c>
      <c r="L28" s="74"/>
      <c r="M28" s="65" t="s">
        <v>143</v>
      </c>
      <c r="N28" s="65"/>
      <c r="O28" s="65">
        <f>IF(A27=$D$8,SUM($O$25:O27),IF(A27&gt;$D$8," ",$N$5*$D$6))</f>
        <v>0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1337.5234230596025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23240.812884701987</v>
      </c>
      <c r="F29" s="65">
        <f>IF(AND(A28="",A30=""),"",IF(A29="",ROUND(SUM($F$25:F28),2),IF(A29=$D$8,$E$24-ROUND(SUM($F$25:F28),2),($G$9-G29))))</f>
        <v>355.52342305960246</v>
      </c>
      <c r="G29" s="65">
        <f>IF(A28=$D$8,ROUND(SUM($G$25:G28),2),IF(A29&gt;$D$8,"",IF(T29&lt;&gt;T28,ROUND(SUM(V29*$D$9*E28/T29,W29*$D$9*E28/T28),2),ROUND(E28*$D$9*D29/T28,2))))</f>
        <v>982</v>
      </c>
      <c r="H29" s="65">
        <f>IF(A28=$D$8,SUM($H$25:H28),IF(A28&gt;$D$8,"",F29+G29+O29))</f>
        <v>1337.5234230596025</v>
      </c>
      <c r="I29" s="74" t="str">
        <f>IF(A29="",$I$24,"")</f>
        <v/>
      </c>
      <c r="J29" s="74" t="str">
        <f>IF(A29="",$J$24,"")</f>
        <v/>
      </c>
      <c r="K29" s="74" t="s">
        <v>143</v>
      </c>
      <c r="L29" s="74" t="str">
        <f>IF(A29="",$L$29,"")</f>
        <v/>
      </c>
      <c r="M29" s="65" t="s">
        <v>143</v>
      </c>
      <c r="N29" s="65" t="str">
        <f t="shared" ref="N29:N92" si="14">IF(A28=$D$8,$N$24,"")</f>
        <v/>
      </c>
      <c r="O29" s="65">
        <f>IF(A28=$D$8,SUM($O$25:O28),IF(A28&gt;$D$8," ",$N$5*$D$6))</f>
        <v>0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1337.5234230596025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22839.289461642384</v>
      </c>
      <c r="F30" s="65">
        <f>IF(AND(A29="",A31=""),"",IF(A30="",ROUND(SUM($F$25:F29),2),IF(A30=$D$8,$E$24-ROUND(SUM($F$25:F29),2),($G$9-G30))))</f>
        <v>401.52342305960246</v>
      </c>
      <c r="G30" s="65">
        <f>IF(A29=$D$8,ROUND(SUM($G$25:G29),2),IF(A30&gt;$D$8,"",IF(T30&lt;&gt;T29,ROUND(SUM(V30*$D$9*E29/T30,W30*$D$9*E29/T29),2),ROUND(E29*$D$9*D30/T29,2))))</f>
        <v>936</v>
      </c>
      <c r="H30" s="65">
        <f>IF(A29=$D$8,SUM($H$25:H29),IF(A29&gt;$D$8,"",F30+G30+O30))</f>
        <v>1337.5234230596025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143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0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1337.5234230596025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22452.256038582782</v>
      </c>
      <c r="F31" s="65">
        <f>IF(AND(A30="",A32=""),"",IF(A31="",ROUND(SUM($F$25:F30),2),IF(A31=$D$8,$E$24-ROUND(SUM($F$25:F30),2),($G$9-G31))))</f>
        <v>387.03342305960246</v>
      </c>
      <c r="G31" s="65">
        <f>IF(A30=$D$8,ROUND(SUM($G$25:G30),2),IF(A31&gt;$D$8,"",IF(T31&lt;&gt;T30,ROUND(SUM(V31*$D$9*E30/T31,W31*$D$9*E30/T30),2),ROUND(E30*$D$9*D31/T30,2))))</f>
        <v>950.49</v>
      </c>
      <c r="H31" s="65">
        <f>IF(A30=$D$8,SUM($H$25:H30),IF(A30&gt;$D$8,"",F31+G31+O31))</f>
        <v>1337.5234230596025</v>
      </c>
      <c r="I31" s="74" t="str">
        <f t="shared" si="15"/>
        <v/>
      </c>
      <c r="J31" s="74" t="str">
        <f t="shared" si="16"/>
        <v/>
      </c>
      <c r="K31" s="74" t="s">
        <v>143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0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1337.5234230596025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22049.11261552318</v>
      </c>
      <c r="F32" s="65">
        <f>IF(AND(A31="",A33=""),"",IF(A32="",ROUND(SUM($F$25:F31),2),IF(A32=$D$8,$E$24-ROUND(SUM($F$25:F31),2),($G$9-G32))))</f>
        <v>403.14342305960247</v>
      </c>
      <c r="G32" s="65">
        <f>IF(A31=$D$8,ROUND(SUM($G$25:G31),2),IF(A32&gt;$D$8,"",IF(T32&lt;&gt;T31,ROUND(SUM(V32*$D$9*E31/T32,W32*$D$9*E31/T31),2),ROUND(E31*$D$9*D32/T31,2))))</f>
        <v>934.38</v>
      </c>
      <c r="H32" s="65">
        <f>IF(A31=$D$8,SUM($H$25:H31),IF(A31&gt;$D$8,"",F32+G32+O32))</f>
        <v>1337.5234230596025</v>
      </c>
      <c r="I32" s="74" t="str">
        <f t="shared" si="15"/>
        <v/>
      </c>
      <c r="J32" s="74" t="str">
        <f t="shared" si="16"/>
        <v/>
      </c>
      <c r="K32" s="74" t="s">
        <v>143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0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1337.5234230596025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21599.599192463578</v>
      </c>
      <c r="F33" s="65">
        <f>IF(AND(A32="",A34=""),"",IF(A33="",ROUND(SUM($F$25:F32),2),IF(A33=$D$8,$E$24-ROUND(SUM($F$25:F32),2),($G$9-G33))))</f>
        <v>449.51342305960247</v>
      </c>
      <c r="G33" s="65">
        <f>IF(A32=$D$8,ROUND(SUM($G$25:G32),2),IF(A33&gt;$D$8,"",IF(T33&lt;&gt;T32,ROUND(SUM(V33*$D$9*E32/T33,W33*$D$9*E32/T32),2),ROUND(E32*$D$9*D33/T32,2))))</f>
        <v>888.01</v>
      </c>
      <c r="H33" s="65">
        <f>IF(A32=$D$8,SUM($H$25:H32),IF(A32&gt;$D$8,"",F33+G33+O33))</f>
        <v>1337.5234230596025</v>
      </c>
      <c r="I33" s="74" t="str">
        <f t="shared" si="15"/>
        <v/>
      </c>
      <c r="J33" s="74" t="str">
        <f t="shared" si="16"/>
        <v/>
      </c>
      <c r="K33" s="74" t="s">
        <v>143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0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1337.5234230596025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21160.975769403976</v>
      </c>
      <c r="F34" s="65">
        <f>IF(AND(A33="",A35=""),"",IF(A34="",ROUND(SUM($F$25:F33),2),IF(A34=$D$8,$E$24-ROUND(SUM($F$25:F33),2),($G$9-G34))))</f>
        <v>438.62342305960249</v>
      </c>
      <c r="G34" s="65">
        <f>IF(A33=$D$8,ROUND(SUM($G$25:G33),2),IF(A34&gt;$D$8,"",IF(T34&lt;&gt;T33,ROUND(SUM(V34*$D$9*E33/T34,W34*$D$9*E33/T33),2),ROUND(E33*$D$9*D34/T33,2))))</f>
        <v>898.9</v>
      </c>
      <c r="H34" s="65">
        <f>IF(A33=$D$8,SUM($H$25:H33),IF(A33&gt;$D$8,"",F34+G34+O34))</f>
        <v>1337.5234230596025</v>
      </c>
      <c r="I34" s="74" t="str">
        <f t="shared" si="15"/>
        <v/>
      </c>
      <c r="J34" s="74" t="str">
        <f t="shared" si="16"/>
        <v/>
      </c>
      <c r="K34" s="74" t="s">
        <v>143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0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1337.5234230596025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20675.692346344375</v>
      </c>
      <c r="F35" s="65">
        <f>IF(AND(A34="",A36=""),"",IF(A35="",ROUND(SUM($F$25:F34),2),IF(A35=$D$8,$E$24-ROUND(SUM($F$25:F34),2),($G$9-G35))))</f>
        <v>485.28342305960246</v>
      </c>
      <c r="G35" s="65">
        <f>IF(A34=$D$8,ROUND(SUM($G$25:G34),2),IF(A35&gt;$D$8,"",IF(T35&lt;&gt;T34,ROUND(SUM(V35*$D$9*E34/T35,W35*$D$9*E34/T34),2),ROUND(E34*$D$9*D35/T34,2))))</f>
        <v>852.24</v>
      </c>
      <c r="H35" s="65">
        <f>IF(A34=$D$8,SUM($H$25:H34),IF(A34&gt;$D$8,"",F35+G35+O35))</f>
        <v>1337.5234230596025</v>
      </c>
      <c r="I35" s="74" t="str">
        <f t="shared" si="15"/>
        <v/>
      </c>
      <c r="J35" s="74" t="str">
        <f t="shared" si="16"/>
        <v/>
      </c>
      <c r="K35" s="74" t="s">
        <v>143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0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1337.5234230596025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44562</v>
      </c>
      <c r="D36" s="68">
        <f t="shared" si="1"/>
        <v>31</v>
      </c>
      <c r="E36" s="65">
        <f t="shared" si="12"/>
        <v>20198.618923284772</v>
      </c>
      <c r="F36" s="65">
        <f>IF(AND(A35="",A37=""),"",IF(A36="",ROUND(SUM($F$25:F35),2),IF(A36=$D$8,$E$24-ROUND(SUM($F$25:F35),2),($G$9-G36))))</f>
        <v>477.07342305960242</v>
      </c>
      <c r="G36" s="65">
        <f>IF(A35=$D$8,ROUND(SUM($G$25:G35),2),IF(A36&gt;$D$8,"",IF(T36&lt;&gt;T35,ROUND(SUM(V36*$D$9*E35/T36,W36*$D$9*E35/T35),2),ROUND(E35*$D$9*D36/T35,2))))</f>
        <v>860.45</v>
      </c>
      <c r="H36" s="65">
        <f>IF(A35=$D$8,SUM($H$25:H35),IF(A35&gt;$D$8,"",F36+G36+O36))</f>
        <v>1337.5234230596025</v>
      </c>
      <c r="I36" s="74" t="str">
        <f t="shared" si="15"/>
        <v/>
      </c>
      <c r="J36" s="74" t="str">
        <f t="shared" si="16"/>
        <v/>
      </c>
      <c r="K36" s="74" t="s">
        <v>143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0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1337.5234230596025</v>
      </c>
      <c r="S36" s="67">
        <f t="shared" si="6"/>
        <v>2022</v>
      </c>
      <c r="T36" s="67">
        <f t="shared" si="7"/>
        <v>365</v>
      </c>
      <c r="U36" s="67">
        <f t="shared" si="8"/>
        <v>1</v>
      </c>
      <c r="V36" s="72">
        <f t="shared" si="9"/>
        <v>0</v>
      </c>
      <c r="W36" s="73">
        <f t="shared" si="10"/>
        <v>31</v>
      </c>
      <c r="X36" s="67"/>
    </row>
    <row r="37" spans="1:24" x14ac:dyDescent="0.25">
      <c r="A37" s="68">
        <f t="shared" si="2"/>
        <v>13</v>
      </c>
      <c r="B37" s="64">
        <f>IF(A37="","",EDATE($B$24,A37))</f>
        <v>44593</v>
      </c>
      <c r="C37" s="64">
        <f t="shared" si="4"/>
        <v>44593</v>
      </c>
      <c r="D37" s="68">
        <f t="shared" ref="D37:D100" si="19">IF(A37&gt;$D$8,"",C37-C36)</f>
        <v>31</v>
      </c>
      <c r="E37" s="65">
        <f t="shared" ref="E37:E100" si="20">IF(A37&gt;$D$8,"",E36-F37)</f>
        <v>19701.685500225169</v>
      </c>
      <c r="F37" s="65">
        <f>IF(AND(A36="",A38=""),"",IF(A37="",ROUND(SUM($F$25:F36),2),IF(A37=$D$8,$E$24-ROUND(SUM($F$25:F36),2),($G$9-G37))))</f>
        <v>496.93342305960243</v>
      </c>
      <c r="G37" s="65">
        <f>IF(A36=$D$8,ROUND(SUM($G$25:G36),2),IF(A37&gt;$D$8,"",IF(T37&lt;&gt;T36,ROUND(SUM(V37*$D$9*E36/T37,W37*$D$9*E36/T36),2),ROUND(E36*$D$9*D37/T36,2))))</f>
        <v>840.59</v>
      </c>
      <c r="H37" s="65">
        <f>IF(A36=$D$8,SUM($H$25:H36),IF(A36&gt;$D$8,"",F37+G37+O37))</f>
        <v>1337.5234230596025</v>
      </c>
      <c r="I37" s="74" t="str">
        <f t="shared" si="15"/>
        <v/>
      </c>
      <c r="J37" s="74">
        <f>IF($D$8&gt;A36,$N$9,IF(A36=12,$J$24,SUM($J$24:J36)))</f>
        <v>0</v>
      </c>
      <c r="K37" s="74">
        <f>IF(D8&gt;12,(O8+$N$10*E36),IF($A$36=$D$8,K24,""))</f>
        <v>0</v>
      </c>
      <c r="L37" s="74" t="str">
        <f t="shared" si="18"/>
        <v/>
      </c>
      <c r="M37" s="65" t="str">
        <f t="shared" si="17"/>
        <v/>
      </c>
      <c r="N37" s="65" t="str">
        <f t="shared" si="14"/>
        <v/>
      </c>
      <c r="O37" s="65">
        <f>IF(A36=$D$8,SUM($O$25:O36),IF(A36&gt;$D$8," ",$N$5*$D$6))</f>
        <v>0</v>
      </c>
      <c r="P37" s="70" t="str">
        <f>IF(A36=$D$8,XIRR(H$24:H36,C$24:C36),"")</f>
        <v/>
      </c>
      <c r="Q37" s="74" t="str">
        <f t="shared" si="13"/>
        <v/>
      </c>
      <c r="R37" s="65">
        <f t="shared" si="5"/>
        <v>1337.5234230596025</v>
      </c>
      <c r="S37" s="67">
        <f t="shared" si="6"/>
        <v>2022</v>
      </c>
      <c r="T37" s="67">
        <f t="shared" si="7"/>
        <v>365</v>
      </c>
      <c r="U37" s="67">
        <f t="shared" si="8"/>
        <v>1</v>
      </c>
      <c r="V37" s="72">
        <f t="shared" si="9"/>
        <v>0</v>
      </c>
      <c r="W37" s="73">
        <f t="shared" si="10"/>
        <v>31</v>
      </c>
      <c r="X37" s="67"/>
    </row>
    <row r="38" spans="1:24" x14ac:dyDescent="0.25">
      <c r="A38" s="68">
        <f t="shared" si="2"/>
        <v>14</v>
      </c>
      <c r="B38" s="64">
        <f t="shared" ref="B38:B101" si="21">IF(A38="","",EDATE($B$24,A38))</f>
        <v>44621</v>
      </c>
      <c r="C38" s="64">
        <f t="shared" si="4"/>
        <v>44621</v>
      </c>
      <c r="D38" s="68">
        <f t="shared" si="19"/>
        <v>28</v>
      </c>
      <c r="E38" s="65">
        <f t="shared" si="20"/>
        <v>19104.732077165565</v>
      </c>
      <c r="F38" s="65">
        <f>IF(AND(A37="",A39=""),"",IF(A38="",ROUND(SUM($F$25:F37),2),IF(A38=$D$8,$E$24-ROUND(SUM($F$25:F37),2),($G$9-G38))))</f>
        <v>596.95342305960241</v>
      </c>
      <c r="G38" s="65">
        <f>IF(A37=$D$8,ROUND(SUM($G$25:G37),2),IF(A38&gt;$D$8,"",IF(T38&lt;&gt;T37,ROUND(SUM(V38*$D$9*E37/T38,W38*$D$9*E37/T37),2),ROUND(E37*$D$9*D38/T37,2))))</f>
        <v>740.57</v>
      </c>
      <c r="H38" s="65">
        <f>IF(A37=$D$8,SUM($H$25:H37),IF(A37&gt;$D$8,"",F38+G38+O38))</f>
        <v>1337.5234230596025</v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143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>
        <f>IF(A37=$D$8,SUM($O$25:O37),IF(A37&gt;$D$8," ",$N$5*$D$6))</f>
        <v>0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1337.5234230596025</v>
      </c>
      <c r="S38" s="67">
        <f t="shared" si="6"/>
        <v>2022</v>
      </c>
      <c r="T38" s="67">
        <f t="shared" si="7"/>
        <v>365</v>
      </c>
      <c r="U38" s="67">
        <f t="shared" si="8"/>
        <v>1</v>
      </c>
      <c r="V38" s="72">
        <f t="shared" si="9"/>
        <v>0</v>
      </c>
      <c r="W38" s="73">
        <f t="shared" si="10"/>
        <v>28</v>
      </c>
      <c r="X38" s="67"/>
    </row>
    <row r="39" spans="1:24" x14ac:dyDescent="0.25">
      <c r="A39" s="68">
        <f t="shared" si="2"/>
        <v>15</v>
      </c>
      <c r="B39" s="64">
        <f t="shared" si="21"/>
        <v>44652</v>
      </c>
      <c r="C39" s="64">
        <f t="shared" si="4"/>
        <v>44652</v>
      </c>
      <c r="D39" s="68">
        <f t="shared" si="19"/>
        <v>31</v>
      </c>
      <c r="E39" s="65">
        <f t="shared" si="20"/>
        <v>18562.278654105961</v>
      </c>
      <c r="F39" s="65">
        <f>IF(AND(A38="",A40=""),"",IF(A39="",ROUND(SUM($F$25:F38),2),IF(A39=$D$8,$E$24-ROUND(SUM($F$25:F38),2),($G$9-G39))))</f>
        <v>542.45342305960241</v>
      </c>
      <c r="G39" s="65">
        <f>IF(A38=$D$8,ROUND(SUM($G$25:G38),2),IF(A39&gt;$D$8,"",IF(T39&lt;&gt;T38,ROUND(SUM(V39*$D$9*E38/T39,W39*$D$9*E38/T38),2),ROUND(E38*$D$9*D39/T38,2))))</f>
        <v>795.07</v>
      </c>
      <c r="H39" s="65">
        <f>IF(A38=$D$8,SUM($H$25:H38),IF(A38&gt;$D$8,"",F39+G39+O39))</f>
        <v>1337.5234230596025</v>
      </c>
      <c r="I39" s="74" t="str">
        <f t="shared" si="22"/>
        <v/>
      </c>
      <c r="J39" s="74" t="str">
        <f t="shared" si="23"/>
        <v/>
      </c>
      <c r="K39" s="74" t="s">
        <v>143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>
        <f>IF(A38=$D$8,SUM($O$25:O38),IF(A38&gt;$D$8," ",$N$5*$D$6))</f>
        <v>0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1337.5234230596025</v>
      </c>
      <c r="S39" s="67">
        <f t="shared" si="6"/>
        <v>2022</v>
      </c>
      <c r="T39" s="67">
        <f t="shared" si="7"/>
        <v>365</v>
      </c>
      <c r="U39" s="67">
        <f t="shared" si="8"/>
        <v>1</v>
      </c>
      <c r="V39" s="72">
        <f t="shared" si="9"/>
        <v>0</v>
      </c>
      <c r="W39" s="73">
        <f t="shared" si="10"/>
        <v>31</v>
      </c>
      <c r="X39" s="67"/>
    </row>
    <row r="40" spans="1:24" x14ac:dyDescent="0.25">
      <c r="A40" s="68">
        <f t="shared" si="2"/>
        <v>16</v>
      </c>
      <c r="B40" s="64">
        <f t="shared" si="21"/>
        <v>44682</v>
      </c>
      <c r="C40" s="64">
        <f t="shared" si="4"/>
        <v>44682</v>
      </c>
      <c r="D40" s="68">
        <f t="shared" si="19"/>
        <v>30</v>
      </c>
      <c r="E40" s="65">
        <f t="shared" si="20"/>
        <v>17972.33523104636</v>
      </c>
      <c r="F40" s="65">
        <f>IF(AND(A39="",A41=""),"",IF(A40="",ROUND(SUM($F$25:F39),2),IF(A40=$D$8,$E$24-ROUND(SUM($F$25:F39),2),($G$9-G40))))</f>
        <v>589.94342305960242</v>
      </c>
      <c r="G40" s="65">
        <f>IF(A39=$D$8,ROUND(SUM($G$25:G39),2),IF(A40&gt;$D$8,"",IF(T40&lt;&gt;T39,ROUND(SUM(V40*$D$9*E39/T40,W40*$D$9*E39/T39),2),ROUND(E39*$D$9*D40/T39,2))))</f>
        <v>747.58</v>
      </c>
      <c r="H40" s="65">
        <f>IF(A39=$D$8,SUM($H$25:H39),IF(A39&gt;$D$8,"",F40+G40+O40))</f>
        <v>1337.5234230596025</v>
      </c>
      <c r="I40" s="74" t="str">
        <f t="shared" si="22"/>
        <v/>
      </c>
      <c r="J40" s="74" t="str">
        <f t="shared" si="23"/>
        <v/>
      </c>
      <c r="K40" s="74" t="s">
        <v>143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>
        <f>IF(A39=$D$8,SUM($O$25:O39),IF(A39&gt;$D$8," ",$N$5*$D$6))</f>
        <v>0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1337.5234230596025</v>
      </c>
      <c r="S40" s="67">
        <f t="shared" si="6"/>
        <v>2022</v>
      </c>
      <c r="T40" s="67">
        <f t="shared" si="7"/>
        <v>365</v>
      </c>
      <c r="U40" s="67">
        <f t="shared" si="8"/>
        <v>1</v>
      </c>
      <c r="V40" s="72">
        <f t="shared" si="9"/>
        <v>0</v>
      </c>
      <c r="W40" s="73">
        <f t="shared" si="10"/>
        <v>30</v>
      </c>
      <c r="X40" s="67"/>
    </row>
    <row r="41" spans="1:24" x14ac:dyDescent="0.25">
      <c r="A41" s="68">
        <f t="shared" si="2"/>
        <v>17</v>
      </c>
      <c r="B41" s="64">
        <f t="shared" si="21"/>
        <v>44713</v>
      </c>
      <c r="C41" s="64">
        <f t="shared" si="4"/>
        <v>44713</v>
      </c>
      <c r="D41" s="68">
        <f t="shared" si="19"/>
        <v>31</v>
      </c>
      <c r="E41" s="65">
        <f t="shared" si="20"/>
        <v>17382.751807986759</v>
      </c>
      <c r="F41" s="65">
        <f>IF(AND(A40="",A42=""),"",IF(A41="",ROUND(SUM($F$25:F40),2),IF(A41=$D$8,$E$24-ROUND(SUM($F$25:F40),2),($G$9-G41))))</f>
        <v>589.58342305960241</v>
      </c>
      <c r="G41" s="65">
        <f>IF(A40=$D$8,ROUND(SUM($G$25:G40),2),IF(A41&gt;$D$8,"",IF(T41&lt;&gt;T40,ROUND(SUM(V41*$D$9*E40/T41,W41*$D$9*E40/T40),2),ROUND(E40*$D$9*D41/T40,2))))</f>
        <v>747.94</v>
      </c>
      <c r="H41" s="65">
        <f>IF(A40=$D$8,SUM($H$25:H40),IF(A40&gt;$D$8,"",F41+G41+O41))</f>
        <v>1337.5234230596025</v>
      </c>
      <c r="I41" s="74" t="str">
        <f t="shared" si="22"/>
        <v/>
      </c>
      <c r="J41" s="74" t="str">
        <f t="shared" si="23"/>
        <v/>
      </c>
      <c r="K41" s="74" t="s">
        <v>143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>
        <f>IF(A40=$D$8,SUM($O$25:O40),IF(A40&gt;$D$8," ",$N$5*$D$6))</f>
        <v>0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1337.5234230596025</v>
      </c>
      <c r="S41" s="67">
        <f t="shared" si="6"/>
        <v>2022</v>
      </c>
      <c r="T41" s="67">
        <f t="shared" si="7"/>
        <v>365</v>
      </c>
      <c r="U41" s="67">
        <f t="shared" si="8"/>
        <v>1</v>
      </c>
      <c r="V41" s="72">
        <f t="shared" si="9"/>
        <v>0</v>
      </c>
      <c r="W41" s="73">
        <f t="shared" si="10"/>
        <v>31</v>
      </c>
      <c r="X41" s="67"/>
    </row>
    <row r="42" spans="1:24" x14ac:dyDescent="0.25">
      <c r="A42" s="68">
        <f t="shared" si="2"/>
        <v>18</v>
      </c>
      <c r="B42" s="64">
        <f t="shared" si="21"/>
        <v>44743</v>
      </c>
      <c r="C42" s="64">
        <f t="shared" si="4"/>
        <v>44743</v>
      </c>
      <c r="D42" s="68">
        <f t="shared" si="19"/>
        <v>30</v>
      </c>
      <c r="E42" s="65">
        <f t="shared" si="20"/>
        <v>16745.298384927155</v>
      </c>
      <c r="F42" s="65">
        <f>IF(AND(A41="",A43=""),"",IF(A42="",ROUND(SUM($F$25:F41),2),IF(A42=$D$8,$E$24-ROUND(SUM($F$25:F41),2),($G$9-G42))))</f>
        <v>637.45342305960241</v>
      </c>
      <c r="G42" s="65">
        <f>IF(A41=$D$8,ROUND(SUM($G$25:G41),2),IF(A42&gt;$D$8,"",IF(T42&lt;&gt;T41,ROUND(SUM(V42*$D$9*E41/T42,W42*$D$9*E41/T41),2),ROUND(E41*$D$9*D42/T41,2))))</f>
        <v>700.07</v>
      </c>
      <c r="H42" s="65">
        <f>IF(A41=$D$8,SUM($H$25:H41),IF(A41&gt;$D$8,"",F42+G42+O42))</f>
        <v>1337.5234230596025</v>
      </c>
      <c r="I42" s="74" t="str">
        <f t="shared" si="22"/>
        <v/>
      </c>
      <c r="J42" s="74" t="str">
        <f t="shared" si="23"/>
        <v/>
      </c>
      <c r="K42" s="74" t="s">
        <v>143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>
        <f>IF(A41=$D$8,SUM($O$25:O41),IF(A41&gt;$D$8," ",$N$5*$D$6))</f>
        <v>0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1337.5234230596025</v>
      </c>
      <c r="S42" s="67">
        <f t="shared" si="6"/>
        <v>2022</v>
      </c>
      <c r="T42" s="67">
        <f t="shared" si="7"/>
        <v>365</v>
      </c>
      <c r="U42" s="67">
        <f t="shared" si="8"/>
        <v>1</v>
      </c>
      <c r="V42" s="72">
        <f t="shared" si="9"/>
        <v>0</v>
      </c>
      <c r="W42" s="73">
        <f t="shared" si="10"/>
        <v>30</v>
      </c>
      <c r="X42" s="67"/>
    </row>
    <row r="43" spans="1:24" x14ac:dyDescent="0.25">
      <c r="A43" s="68">
        <f t="shared" si="2"/>
        <v>19</v>
      </c>
      <c r="B43" s="64">
        <f t="shared" si="21"/>
        <v>44774</v>
      </c>
      <c r="C43" s="64">
        <f t="shared" si="4"/>
        <v>44774</v>
      </c>
      <c r="D43" s="68">
        <f t="shared" si="19"/>
        <v>31</v>
      </c>
      <c r="E43" s="65">
        <f t="shared" si="20"/>
        <v>16104.654961867553</v>
      </c>
      <c r="F43" s="65">
        <f>IF(AND(A42="",A44=""),"",IF(A43="",ROUND(SUM($F$25:F42),2),IF(A43=$D$8,$E$24-ROUND(SUM($F$25:F42),2),($G$9-G43))))</f>
        <v>640.64342305960247</v>
      </c>
      <c r="G43" s="65">
        <f>IF(A42=$D$8,ROUND(SUM($G$25:G42),2),IF(A43&gt;$D$8,"",IF(T43&lt;&gt;T42,ROUND(SUM(V43*$D$9*E42/T43,W43*$D$9*E42/T42),2),ROUND(E42*$D$9*D43/T42,2))))</f>
        <v>696.88</v>
      </c>
      <c r="H43" s="65">
        <f>IF(A42=$D$8,SUM($H$25:H42),IF(A42&gt;$D$8,"",F43+G43+O43))</f>
        <v>1337.5234230596025</v>
      </c>
      <c r="I43" s="74" t="str">
        <f t="shared" si="22"/>
        <v/>
      </c>
      <c r="J43" s="74" t="str">
        <f t="shared" si="23"/>
        <v/>
      </c>
      <c r="K43" s="74" t="s">
        <v>143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>
        <f>IF(A42=$D$8,SUM($O$25:O42),IF(A42&gt;$D$8," ",$N$5*$D$6))</f>
        <v>0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1337.5234230596025</v>
      </c>
      <c r="S43" s="67">
        <f t="shared" si="6"/>
        <v>2022</v>
      </c>
      <c r="T43" s="67">
        <f t="shared" si="7"/>
        <v>365</v>
      </c>
      <c r="U43" s="67">
        <f t="shared" si="8"/>
        <v>1</v>
      </c>
      <c r="V43" s="72">
        <f t="shared" si="9"/>
        <v>0</v>
      </c>
      <c r="W43" s="73">
        <f t="shared" si="10"/>
        <v>31</v>
      </c>
      <c r="X43" s="67"/>
    </row>
    <row r="44" spans="1:24" x14ac:dyDescent="0.25">
      <c r="A44" s="68">
        <f t="shared" si="2"/>
        <v>20</v>
      </c>
      <c r="B44" s="64">
        <f t="shared" si="21"/>
        <v>44805</v>
      </c>
      <c r="C44" s="64">
        <f t="shared" si="4"/>
        <v>44805</v>
      </c>
      <c r="D44" s="68">
        <f t="shared" si="19"/>
        <v>31</v>
      </c>
      <c r="E44" s="65">
        <f t="shared" si="20"/>
        <v>15437.35153880795</v>
      </c>
      <c r="F44" s="65">
        <f>IF(AND(A43="",A45=""),"",IF(A44="",ROUND(SUM($F$25:F43),2),IF(A44=$D$8,$E$24-ROUND(SUM($F$25:F43),2),($G$9-G44))))</f>
        <v>667.30342305960244</v>
      </c>
      <c r="G44" s="65">
        <f>IF(A43=$D$8,ROUND(SUM($G$25:G43),2),IF(A44&gt;$D$8,"",IF(T44&lt;&gt;T43,ROUND(SUM(V44*$D$9*E43/T44,W44*$D$9*E43/T43),2),ROUND(E43*$D$9*D44/T43,2))))</f>
        <v>670.22</v>
      </c>
      <c r="H44" s="65">
        <f>IF(A43=$D$8,SUM($H$25:H43),IF(A43&gt;$D$8,"",F44+G44+O44))</f>
        <v>1337.5234230596025</v>
      </c>
      <c r="I44" s="74" t="str">
        <f t="shared" si="22"/>
        <v/>
      </c>
      <c r="J44" s="74" t="str">
        <f t="shared" si="23"/>
        <v/>
      </c>
      <c r="K44" s="74" t="s">
        <v>143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>
        <f>IF(A43=$D$8,SUM($O$25:O43),IF(A43&gt;$D$8," ",$N$5*$D$6))</f>
        <v>0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1337.5234230596025</v>
      </c>
      <c r="S44" s="67">
        <f t="shared" si="6"/>
        <v>2022</v>
      </c>
      <c r="T44" s="67">
        <f t="shared" si="7"/>
        <v>365</v>
      </c>
      <c r="U44" s="67">
        <f t="shared" si="8"/>
        <v>1</v>
      </c>
      <c r="V44" s="72">
        <f t="shared" si="9"/>
        <v>0</v>
      </c>
      <c r="W44" s="73">
        <f t="shared" si="10"/>
        <v>31</v>
      </c>
      <c r="X44" s="67"/>
    </row>
    <row r="45" spans="1:24" x14ac:dyDescent="0.25">
      <c r="A45" s="68">
        <f t="shared" si="2"/>
        <v>21</v>
      </c>
      <c r="B45" s="64">
        <f t="shared" si="21"/>
        <v>44835</v>
      </c>
      <c r="C45" s="64">
        <f t="shared" si="4"/>
        <v>44835</v>
      </c>
      <c r="D45" s="68">
        <f t="shared" si="19"/>
        <v>30</v>
      </c>
      <c r="E45" s="65">
        <f t="shared" si="20"/>
        <v>14721.548115748348</v>
      </c>
      <c r="F45" s="65">
        <f>IF(AND(A44="",A46=""),"",IF(A45="",ROUND(SUM($F$25:F44),2),IF(A45=$D$8,$E$24-ROUND(SUM($F$25:F44),2),($G$9-G45))))</f>
        <v>715.80342305960244</v>
      </c>
      <c r="G45" s="65">
        <f>IF(A44=$D$8,ROUND(SUM($G$25:G44),2),IF(A45&gt;$D$8,"",IF(T45&lt;&gt;T44,ROUND(SUM(V45*$D$9*E44/T45,W45*$D$9*E44/T44),2),ROUND(E44*$D$9*D45/T44,2))))</f>
        <v>621.72</v>
      </c>
      <c r="H45" s="65">
        <f>IF(A44=$D$8,SUM($H$25:H44),IF(A44&gt;$D$8,"",F45+G45+O45))</f>
        <v>1337.5234230596025</v>
      </c>
      <c r="I45" s="74" t="str">
        <f t="shared" si="22"/>
        <v/>
      </c>
      <c r="J45" s="74" t="str">
        <f t="shared" si="23"/>
        <v/>
      </c>
      <c r="K45" s="74" t="s">
        <v>143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>
        <f>IF(A44=$D$8,SUM($O$25:O44),IF(A44&gt;$D$8," ",$N$5*$D$6))</f>
        <v>0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1337.5234230596025</v>
      </c>
      <c r="S45" s="67">
        <f t="shared" si="6"/>
        <v>2022</v>
      </c>
      <c r="T45" s="67">
        <f t="shared" si="7"/>
        <v>365</v>
      </c>
      <c r="U45" s="67">
        <f t="shared" si="8"/>
        <v>1</v>
      </c>
      <c r="V45" s="72">
        <f t="shared" si="9"/>
        <v>0</v>
      </c>
      <c r="W45" s="73">
        <f t="shared" si="10"/>
        <v>30</v>
      </c>
      <c r="X45" s="67"/>
    </row>
    <row r="46" spans="1:24" x14ac:dyDescent="0.25">
      <c r="A46" s="68">
        <f t="shared" si="2"/>
        <v>22</v>
      </c>
      <c r="B46" s="64">
        <f t="shared" si="21"/>
        <v>44866</v>
      </c>
      <c r="C46" s="64">
        <f t="shared" si="4"/>
        <v>44866</v>
      </c>
      <c r="D46" s="68">
        <f t="shared" si="19"/>
        <v>31</v>
      </c>
      <c r="E46" s="65">
        <f t="shared" si="20"/>
        <v>13996.684692688747</v>
      </c>
      <c r="F46" s="65">
        <f>IF(AND(A45="",A47=""),"",IF(A46="",ROUND(SUM($F$25:F45),2),IF(A46=$D$8,$E$24-ROUND(SUM($F$25:F45),2),($G$9-G46))))</f>
        <v>724.8634230596025</v>
      </c>
      <c r="G46" s="65">
        <f>IF(A45=$D$8,ROUND(SUM($G$25:G45),2),IF(A46&gt;$D$8,"",IF(T46&lt;&gt;T45,ROUND(SUM(V46*$D$9*E45/T46,W46*$D$9*E45/T45),2),ROUND(E45*$D$9*D46/T45,2))))</f>
        <v>612.66</v>
      </c>
      <c r="H46" s="65">
        <f>IF(A45=$D$8,SUM($H$25:H45),IF(A45&gt;$D$8,"",F46+G46+O46))</f>
        <v>1337.5234230596025</v>
      </c>
      <c r="I46" s="74" t="str">
        <f t="shared" si="22"/>
        <v/>
      </c>
      <c r="J46" s="74" t="str">
        <f t="shared" si="23"/>
        <v/>
      </c>
      <c r="K46" s="74" t="s">
        <v>143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>
        <f>IF(A45=$D$8,SUM($O$25:O45),IF(A45&gt;$D$8," ",$N$5*$D$6))</f>
        <v>0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1337.5234230596025</v>
      </c>
      <c r="S46" s="67">
        <f t="shared" si="6"/>
        <v>2022</v>
      </c>
      <c r="T46" s="67">
        <f t="shared" si="7"/>
        <v>365</v>
      </c>
      <c r="U46" s="67">
        <f t="shared" si="8"/>
        <v>1</v>
      </c>
      <c r="V46" s="72">
        <f t="shared" si="9"/>
        <v>0</v>
      </c>
      <c r="W46" s="73">
        <f t="shared" si="10"/>
        <v>31</v>
      </c>
      <c r="X46" s="67"/>
    </row>
    <row r="47" spans="1:24" x14ac:dyDescent="0.25">
      <c r="A47" s="68">
        <f t="shared" si="2"/>
        <v>23</v>
      </c>
      <c r="B47" s="64">
        <f t="shared" si="21"/>
        <v>44896</v>
      </c>
      <c r="C47" s="64">
        <f t="shared" si="4"/>
        <v>44896</v>
      </c>
      <c r="D47" s="68">
        <f t="shared" si="19"/>
        <v>30</v>
      </c>
      <c r="E47" s="65">
        <f t="shared" si="20"/>
        <v>13222.861269629144</v>
      </c>
      <c r="F47" s="65">
        <f>IF(AND(A46="",A48=""),"",IF(A47="",ROUND(SUM($F$25:F46),2),IF(A47=$D$8,$E$24-ROUND(SUM($F$25:F46),2),($G$9-G47))))</f>
        <v>773.82342305960242</v>
      </c>
      <c r="G47" s="65">
        <f>IF(A46=$D$8,ROUND(SUM($G$25:G46),2),IF(A47&gt;$D$8,"",IF(T47&lt;&gt;T46,ROUND(SUM(V47*$D$9*E46/T47,W47*$D$9*E46/T46),2),ROUND(E46*$D$9*D47/T46,2))))</f>
        <v>563.70000000000005</v>
      </c>
      <c r="H47" s="65">
        <f>IF(A46=$D$8,SUM($H$25:H46),IF(A46&gt;$D$8,"",F47+G47+O47))</f>
        <v>1337.5234230596025</v>
      </c>
      <c r="I47" s="74" t="str">
        <f t="shared" si="22"/>
        <v/>
      </c>
      <c r="J47" s="74" t="str">
        <f t="shared" si="23"/>
        <v/>
      </c>
      <c r="K47" s="74" t="s">
        <v>143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>
        <f>IF(A46=$D$8,SUM($O$25:O46),IF(A46&gt;$D$8," ",$N$5*$D$6))</f>
        <v>0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1337.5234230596025</v>
      </c>
      <c r="S47" s="67">
        <f t="shared" si="6"/>
        <v>2022</v>
      </c>
      <c r="T47" s="67">
        <f t="shared" si="7"/>
        <v>365</v>
      </c>
      <c r="U47" s="67">
        <f t="shared" si="8"/>
        <v>1</v>
      </c>
      <c r="V47" s="72">
        <f t="shared" si="9"/>
        <v>0</v>
      </c>
      <c r="W47" s="73">
        <f t="shared" si="10"/>
        <v>30</v>
      </c>
      <c r="X47" s="67"/>
    </row>
    <row r="48" spans="1:24" x14ac:dyDescent="0.25">
      <c r="A48" s="68">
        <f t="shared" si="2"/>
        <v>24</v>
      </c>
      <c r="B48" s="64">
        <f t="shared" si="21"/>
        <v>44927</v>
      </c>
      <c r="C48" s="64">
        <f t="shared" si="4"/>
        <v>44927</v>
      </c>
      <c r="D48" s="68">
        <f t="shared" si="19"/>
        <v>31</v>
      </c>
      <c r="E48" s="65">
        <f t="shared" si="20"/>
        <v>12435.627846569541</v>
      </c>
      <c r="F48" s="65">
        <f>IF(AND(A47="",A49=""),"",IF(A48="",ROUND(SUM($F$25:F47),2),IF(A48=$D$8,$E$24-ROUND(SUM($F$25:F47),2),($G$9-G48))))</f>
        <v>787.2334230596025</v>
      </c>
      <c r="G48" s="65">
        <f>IF(A47=$D$8,ROUND(SUM($G$25:G47),2),IF(A48&gt;$D$8,"",IF(T48&lt;&gt;T47,ROUND(SUM(V48*$D$9*E47/T48,W48*$D$9*E47/T47),2),ROUND(E47*$D$9*D48/T47,2))))</f>
        <v>550.29</v>
      </c>
      <c r="H48" s="65">
        <f>IF(A47=$D$8,SUM($H$25:H47),IF(A47&gt;$D$8,"",F48+G48+O48))</f>
        <v>1337.5234230596025</v>
      </c>
      <c r="I48" s="74" t="str">
        <f t="shared" si="22"/>
        <v/>
      </c>
      <c r="J48" s="74" t="str">
        <f t="shared" si="23"/>
        <v/>
      </c>
      <c r="K48" s="74" t="s">
        <v>143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>
        <f>IF(A47=$D$8,SUM($O$25:O47),IF(A47&gt;$D$8," ",$N$5*$D$6))</f>
        <v>0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1337.5234230596025</v>
      </c>
      <c r="S48" s="67">
        <f t="shared" si="6"/>
        <v>2023</v>
      </c>
      <c r="T48" s="67">
        <f t="shared" si="7"/>
        <v>365</v>
      </c>
      <c r="U48" s="67">
        <f t="shared" si="8"/>
        <v>1</v>
      </c>
      <c r="V48" s="72">
        <f t="shared" si="9"/>
        <v>0</v>
      </c>
      <c r="W48" s="73">
        <f t="shared" si="10"/>
        <v>31</v>
      </c>
      <c r="X48" s="67"/>
    </row>
    <row r="49" spans="1:24" x14ac:dyDescent="0.25">
      <c r="A49" s="68">
        <f t="shared" si="2"/>
        <v>25</v>
      </c>
      <c r="B49" s="64">
        <f t="shared" si="21"/>
        <v>44958</v>
      </c>
      <c r="C49" s="64">
        <f t="shared" si="4"/>
        <v>44958</v>
      </c>
      <c r="D49" s="68">
        <f t="shared" si="19"/>
        <v>31</v>
      </c>
      <c r="E49" s="65">
        <f t="shared" si="20"/>
        <v>11615.634423509939</v>
      </c>
      <c r="F49" s="65">
        <f>IF(AND(A48="",A50=""),"",IF(A49="",ROUND(SUM($F$25:F48),2),IF(A49=$D$8,$E$24-ROUND(SUM($F$25:F48),2),($G$9-G49))))</f>
        <v>819.99342305960249</v>
      </c>
      <c r="G49" s="65">
        <f>IF(A48=$D$8,ROUND(SUM($G$25:G48),2),IF(A49&gt;$D$8,"",IF(T49&lt;&gt;T48,ROUND(SUM(V49*$D$9*E48/T49,W49*$D$9*E48/T48),2),ROUND(E48*$D$9*D49/T48,2))))</f>
        <v>517.53</v>
      </c>
      <c r="H49" s="65">
        <f>IF(A48=$D$8,SUM($H$25:H48),IF(A48&gt;$D$8,"",F49+G49+O49))</f>
        <v>1337.5234230596025</v>
      </c>
      <c r="I49" s="74" t="str">
        <f t="shared" si="22"/>
        <v/>
      </c>
      <c r="J49" s="74">
        <f>IF($D$8&gt;A48,$N$9,IF(A48=24,SUM($J$24:J48)," "))</f>
        <v>0</v>
      </c>
      <c r="K49" s="74">
        <f>IF($D$8&gt;24,($O$8+$N$10*E48),IF($A$48=$D$8,$K$37+$K$24,""))</f>
        <v>0</v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>
        <f>IF(A48=$D$8,SUM($O$25:O48),IF(A48&gt;$D$8," ",$N$5*$D$6))</f>
        <v>0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1337.5234230596025</v>
      </c>
      <c r="S49" s="67">
        <f t="shared" si="6"/>
        <v>2023</v>
      </c>
      <c r="T49" s="67">
        <f t="shared" si="7"/>
        <v>365</v>
      </c>
      <c r="U49" s="67">
        <f t="shared" si="8"/>
        <v>1</v>
      </c>
      <c r="V49" s="72">
        <f t="shared" si="9"/>
        <v>0</v>
      </c>
      <c r="W49" s="73">
        <f t="shared" si="10"/>
        <v>31</v>
      </c>
      <c r="X49" s="67"/>
    </row>
    <row r="50" spans="1:24" x14ac:dyDescent="0.25">
      <c r="A50" s="68">
        <f t="shared" si="2"/>
        <v>26</v>
      </c>
      <c r="B50" s="64">
        <f t="shared" si="21"/>
        <v>44986</v>
      </c>
      <c r="C50" s="64">
        <f t="shared" si="4"/>
        <v>44986</v>
      </c>
      <c r="D50" s="68">
        <f t="shared" si="19"/>
        <v>28</v>
      </c>
      <c r="E50" s="65">
        <f t="shared" si="20"/>
        <v>10714.731000450336</v>
      </c>
      <c r="F50" s="65">
        <f>IF(AND(A49="",A51=""),"",IF(A50="",ROUND(SUM($F$25:F49),2),IF(A50=$D$8,$E$24-ROUND(SUM($F$25:F49),2),($G$9-G50))))</f>
        <v>900.90342305960246</v>
      </c>
      <c r="G50" s="65">
        <f>IF(A49=$D$8,ROUND(SUM($G$25:G49),2),IF(A50&gt;$D$8,"",IF(T50&lt;&gt;T49,ROUND(SUM(V50*$D$9*E49/T50,W50*$D$9*E49/T49),2),ROUND(E49*$D$9*D50/T49,2))))</f>
        <v>436.62</v>
      </c>
      <c r="H50" s="65">
        <f>IF(A49=$D$8,SUM($H$25:H49),IF(A49&gt;$D$8,"",F50+G50+O50))</f>
        <v>1337.5234230596025</v>
      </c>
      <c r="I50" s="74" t="str">
        <f t="shared" si="22"/>
        <v/>
      </c>
      <c r="J50" s="74" t="str">
        <f t="shared" si="23"/>
        <v/>
      </c>
      <c r="K50" s="74" t="s">
        <v>143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>
        <f>IF(A49=$D$8,SUM($O$25:O49),IF(A49&gt;$D$8," ",$N$5*$D$6))</f>
        <v>0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1337.5234230596025</v>
      </c>
      <c r="S50" s="67">
        <f t="shared" si="6"/>
        <v>2023</v>
      </c>
      <c r="T50" s="67">
        <f t="shared" si="7"/>
        <v>365</v>
      </c>
      <c r="U50" s="67">
        <f t="shared" si="8"/>
        <v>1</v>
      </c>
      <c r="V50" s="72">
        <f t="shared" si="9"/>
        <v>0</v>
      </c>
      <c r="W50" s="73">
        <f t="shared" si="10"/>
        <v>28</v>
      </c>
      <c r="X50" s="67"/>
    </row>
    <row r="51" spans="1:24" x14ac:dyDescent="0.25">
      <c r="A51" s="68">
        <f t="shared" si="2"/>
        <v>27</v>
      </c>
      <c r="B51" s="64">
        <f t="shared" si="21"/>
        <v>45017</v>
      </c>
      <c r="C51" s="64">
        <f t="shared" si="4"/>
        <v>45017</v>
      </c>
      <c r="D51" s="68">
        <f t="shared" si="19"/>
        <v>31</v>
      </c>
      <c r="E51" s="65">
        <f t="shared" si="20"/>
        <v>9823.1175773907344</v>
      </c>
      <c r="F51" s="65">
        <f>IF(AND(A50="",A52=""),"",IF(A51="",ROUND(SUM($F$25:F50),2),IF(A51=$D$8,$E$24-ROUND(SUM($F$25:F50),2),($G$9-G51))))</f>
        <v>891.61342305960238</v>
      </c>
      <c r="G51" s="65">
        <f>IF(A50=$D$8,ROUND(SUM($G$25:G50),2),IF(A51&gt;$D$8,"",IF(T51&lt;&gt;T50,ROUND(SUM(V51*$D$9*E50/T51,W51*$D$9*E50/T50),2),ROUND(E50*$D$9*D51/T50,2))))</f>
        <v>445.91</v>
      </c>
      <c r="H51" s="65">
        <f>IF(A50=$D$8,SUM($H$25:H50),IF(A50&gt;$D$8,"",F51+G51+O51))</f>
        <v>1337.5234230596025</v>
      </c>
      <c r="I51" s="74" t="str">
        <f t="shared" si="22"/>
        <v/>
      </c>
      <c r="J51" s="74" t="str">
        <f t="shared" si="23"/>
        <v/>
      </c>
      <c r="K51" s="74" t="s">
        <v>143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>
        <f>IF(A50=$D$8,SUM($O$25:O50),IF(A50&gt;$D$8," ",$N$5*$D$6))</f>
        <v>0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1337.5234230596025</v>
      </c>
      <c r="S51" s="67">
        <f t="shared" si="6"/>
        <v>2023</v>
      </c>
      <c r="T51" s="67">
        <f t="shared" si="7"/>
        <v>365</v>
      </c>
      <c r="U51" s="67">
        <f t="shared" si="8"/>
        <v>1</v>
      </c>
      <c r="V51" s="72">
        <f t="shared" si="9"/>
        <v>0</v>
      </c>
      <c r="W51" s="73">
        <f t="shared" si="10"/>
        <v>31</v>
      </c>
      <c r="X51" s="67"/>
    </row>
    <row r="52" spans="1:24" x14ac:dyDescent="0.25">
      <c r="A52" s="68">
        <f t="shared" si="2"/>
        <v>28</v>
      </c>
      <c r="B52" s="64">
        <f t="shared" si="21"/>
        <v>45047</v>
      </c>
      <c r="C52" s="64">
        <f t="shared" si="4"/>
        <v>45047</v>
      </c>
      <c r="D52" s="68">
        <f t="shared" si="19"/>
        <v>30</v>
      </c>
      <c r="E52" s="65">
        <f t="shared" si="20"/>
        <v>8881.2141543311318</v>
      </c>
      <c r="F52" s="65">
        <f>IF(AND(A51="",A53=""),"",IF(A52="",ROUND(SUM($F$25:F51),2),IF(A52=$D$8,$E$24-ROUND(SUM($F$25:F51),2),($G$9-G52))))</f>
        <v>941.90342305960246</v>
      </c>
      <c r="G52" s="65">
        <f>IF(A51=$D$8,ROUND(SUM($G$25:G51),2),IF(A52&gt;$D$8,"",IF(T52&lt;&gt;T51,ROUND(SUM(V52*$D$9*E51/T52,W52*$D$9*E51/T51),2),ROUND(E51*$D$9*D52/T51,2))))</f>
        <v>395.62</v>
      </c>
      <c r="H52" s="65">
        <f>IF(A51=$D$8,SUM($H$25:H51),IF(A51&gt;$D$8,"",F52+G52+O52))</f>
        <v>1337.5234230596025</v>
      </c>
      <c r="I52" s="74" t="str">
        <f t="shared" si="22"/>
        <v/>
      </c>
      <c r="J52" s="74" t="str">
        <f t="shared" si="23"/>
        <v/>
      </c>
      <c r="K52" s="74" t="s">
        <v>143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>
        <f>IF(A51=$D$8,SUM($O$25:O51),IF(A51&gt;$D$8," ",$N$5*$D$6))</f>
        <v>0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1337.5234230596025</v>
      </c>
      <c r="S52" s="67">
        <f t="shared" si="6"/>
        <v>2023</v>
      </c>
      <c r="T52" s="67">
        <f t="shared" si="7"/>
        <v>365</v>
      </c>
      <c r="U52" s="67">
        <f t="shared" si="8"/>
        <v>1</v>
      </c>
      <c r="V52" s="72">
        <f t="shared" si="9"/>
        <v>0</v>
      </c>
      <c r="W52" s="73">
        <f t="shared" si="10"/>
        <v>30</v>
      </c>
      <c r="X52" s="67"/>
    </row>
    <row r="53" spans="1:24" x14ac:dyDescent="0.25">
      <c r="A53" s="68">
        <f t="shared" si="2"/>
        <v>29</v>
      </c>
      <c r="B53" s="64">
        <f t="shared" si="21"/>
        <v>45078</v>
      </c>
      <c r="C53" s="64">
        <f t="shared" si="4"/>
        <v>45078</v>
      </c>
      <c r="D53" s="68">
        <f t="shared" si="19"/>
        <v>31</v>
      </c>
      <c r="E53" s="65">
        <f t="shared" si="20"/>
        <v>7913.2907312715297</v>
      </c>
      <c r="F53" s="65">
        <f>IF(AND(A52="",A54=""),"",IF(A53="",ROUND(SUM($F$25:F52),2),IF(A53=$D$8,$E$24-ROUND(SUM($F$25:F52),2),($G$9-G53))))</f>
        <v>967.92342305960244</v>
      </c>
      <c r="G53" s="65">
        <f>IF(A52=$D$8,ROUND(SUM($G$25:G52),2),IF(A53&gt;$D$8,"",IF(T53&lt;&gt;T52,ROUND(SUM(V53*$D$9*E52/T53,W53*$D$9*E52/T52),2),ROUND(E52*$D$9*D53/T52,2))))</f>
        <v>369.6</v>
      </c>
      <c r="H53" s="65">
        <f>IF(A52=$D$8,SUM($H$25:H52),IF(A52&gt;$D$8,"",F53+G53+O53))</f>
        <v>1337.5234230596025</v>
      </c>
      <c r="I53" s="74" t="str">
        <f t="shared" si="22"/>
        <v/>
      </c>
      <c r="J53" s="74" t="str">
        <f t="shared" si="23"/>
        <v/>
      </c>
      <c r="K53" s="74" t="s">
        <v>143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>
        <f>IF(A52=$D$8,SUM($O$25:O52),IF(A52&gt;$D$8," ",$N$5*$D$6))</f>
        <v>0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1337.5234230596025</v>
      </c>
      <c r="S53" s="67">
        <f t="shared" si="6"/>
        <v>2023</v>
      </c>
      <c r="T53" s="67">
        <f t="shared" si="7"/>
        <v>365</v>
      </c>
      <c r="U53" s="67">
        <f t="shared" si="8"/>
        <v>1</v>
      </c>
      <c r="V53" s="72">
        <f t="shared" si="9"/>
        <v>0</v>
      </c>
      <c r="W53" s="73">
        <f t="shared" si="10"/>
        <v>31</v>
      </c>
      <c r="X53" s="67"/>
    </row>
    <row r="54" spans="1:24" x14ac:dyDescent="0.25">
      <c r="A54" s="68">
        <f t="shared" si="2"/>
        <v>30</v>
      </c>
      <c r="B54" s="64">
        <f t="shared" si="21"/>
        <v>45108</v>
      </c>
      <c r="C54" s="64">
        <f t="shared" si="4"/>
        <v>45108</v>
      </c>
      <c r="D54" s="68">
        <f t="shared" si="19"/>
        <v>30</v>
      </c>
      <c r="E54" s="65">
        <f t="shared" si="20"/>
        <v>6894.467308211927</v>
      </c>
      <c r="F54" s="65">
        <f>IF(AND(A53="",A55=""),"",IF(A54="",ROUND(SUM($F$25:F53),2),IF(A54=$D$8,$E$24-ROUND(SUM($F$25:F53),2),($G$9-G54))))</f>
        <v>1018.8234230596024</v>
      </c>
      <c r="G54" s="65">
        <f>IF(A53=$D$8,ROUND(SUM($G$25:G53),2),IF(A54&gt;$D$8,"",IF(T54&lt;&gt;T53,ROUND(SUM(V54*$D$9*E53/T54,W54*$D$9*E53/T53),2),ROUND(E53*$D$9*D54/T53,2))))</f>
        <v>318.7</v>
      </c>
      <c r="H54" s="65">
        <f>IF(A53=$D$8,SUM($H$25:H53),IF(A53&gt;$D$8,"",F54+G54+O54))</f>
        <v>1337.5234230596025</v>
      </c>
      <c r="I54" s="74" t="str">
        <f t="shared" si="22"/>
        <v/>
      </c>
      <c r="J54" s="74" t="str">
        <f t="shared" si="23"/>
        <v/>
      </c>
      <c r="K54" s="74" t="s">
        <v>143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>
        <f>IF(A53=$D$8,SUM($O$25:O53),IF(A53&gt;$D$8," ",$N$5*$D$6))</f>
        <v>0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1337.5234230596025</v>
      </c>
      <c r="S54" s="67">
        <f t="shared" si="6"/>
        <v>2023</v>
      </c>
      <c r="T54" s="67">
        <f t="shared" si="7"/>
        <v>365</v>
      </c>
      <c r="U54" s="67">
        <f t="shared" si="8"/>
        <v>1</v>
      </c>
      <c r="V54" s="72">
        <f t="shared" si="9"/>
        <v>0</v>
      </c>
      <c r="W54" s="73">
        <f t="shared" si="10"/>
        <v>30</v>
      </c>
      <c r="X54" s="67"/>
    </row>
    <row r="55" spans="1:24" x14ac:dyDescent="0.25">
      <c r="A55" s="68">
        <f t="shared" si="2"/>
        <v>31</v>
      </c>
      <c r="B55" s="64">
        <f t="shared" si="21"/>
        <v>45139</v>
      </c>
      <c r="C55" s="64">
        <f t="shared" si="4"/>
        <v>45139</v>
      </c>
      <c r="D55" s="68">
        <f t="shared" si="19"/>
        <v>31</v>
      </c>
      <c r="E55" s="65">
        <f t="shared" si="20"/>
        <v>5843.8638851523247</v>
      </c>
      <c r="F55" s="65">
        <f>IF(AND(A54="",A56=""),"",IF(A55="",ROUND(SUM($F$25:F54),2),IF(A55=$D$8,$E$24-ROUND(SUM($F$25:F54),2),($G$9-G55))))</f>
        <v>1050.6034230596024</v>
      </c>
      <c r="G55" s="65">
        <f>IF(A54=$D$8,ROUND(SUM($G$25:G54),2),IF(A55&gt;$D$8,"",IF(T55&lt;&gt;T54,ROUND(SUM(V55*$D$9*E54/T55,W55*$D$9*E54/T54),2),ROUND(E54*$D$9*D55/T54,2))))</f>
        <v>286.92</v>
      </c>
      <c r="H55" s="65">
        <f>IF(A54=$D$8,SUM($H$25:H54),IF(A54&gt;$D$8,"",F55+G55+O55))</f>
        <v>1337.5234230596025</v>
      </c>
      <c r="I55" s="74" t="str">
        <f t="shared" si="22"/>
        <v/>
      </c>
      <c r="J55" s="74" t="str">
        <f t="shared" si="23"/>
        <v/>
      </c>
      <c r="K55" s="74" t="s">
        <v>143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>
        <f>IF(A54=$D$8,SUM($O$25:O54),IF(A54&gt;$D$8," ",$N$5*$D$6))</f>
        <v>0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1337.5234230596025</v>
      </c>
      <c r="S55" s="67">
        <f t="shared" si="6"/>
        <v>2023</v>
      </c>
      <c r="T55" s="67">
        <f t="shared" si="7"/>
        <v>365</v>
      </c>
      <c r="U55" s="67">
        <f t="shared" si="8"/>
        <v>1</v>
      </c>
      <c r="V55" s="72">
        <f t="shared" si="9"/>
        <v>0</v>
      </c>
      <c r="W55" s="73">
        <f t="shared" si="10"/>
        <v>31</v>
      </c>
      <c r="X55" s="67"/>
    </row>
    <row r="56" spans="1:24" x14ac:dyDescent="0.25">
      <c r="A56" s="68">
        <f t="shared" si="2"/>
        <v>32</v>
      </c>
      <c r="B56" s="64">
        <f t="shared" si="21"/>
        <v>45170</v>
      </c>
      <c r="C56" s="64">
        <f t="shared" si="4"/>
        <v>45170</v>
      </c>
      <c r="D56" s="68">
        <f t="shared" si="19"/>
        <v>31</v>
      </c>
      <c r="E56" s="65">
        <f t="shared" si="20"/>
        <v>4749.540462092722</v>
      </c>
      <c r="F56" s="65">
        <f>IF(AND(A55="",A57=""),"",IF(A56="",ROUND(SUM($F$25:F55),2),IF(A56=$D$8,$E$24-ROUND(SUM($F$25:F55),2),($G$9-G56))))</f>
        <v>1094.3234230596024</v>
      </c>
      <c r="G56" s="65">
        <f>IF(A55=$D$8,ROUND(SUM($G$25:G55),2),IF(A56&gt;$D$8,"",IF(T56&lt;&gt;T55,ROUND(SUM(V56*$D$9*E55/T56,W56*$D$9*E55/T55),2),ROUND(E55*$D$9*D56/T55,2))))</f>
        <v>243.2</v>
      </c>
      <c r="H56" s="65">
        <f>IF(A55=$D$8,SUM($H$25:H55),IF(A55&gt;$D$8,"",F56+G56+O56))</f>
        <v>1337.5234230596025</v>
      </c>
      <c r="I56" s="74" t="str">
        <f t="shared" si="22"/>
        <v/>
      </c>
      <c r="J56" s="74" t="str">
        <f t="shared" si="23"/>
        <v/>
      </c>
      <c r="K56" s="74" t="s">
        <v>143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>
        <f>IF(A55=$D$8,SUM($O$25:O55),IF(A55&gt;$D$8," ",$N$5*$D$6))</f>
        <v>0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1337.5234230596025</v>
      </c>
      <c r="S56" s="67">
        <f t="shared" si="6"/>
        <v>2023</v>
      </c>
      <c r="T56" s="67">
        <f t="shared" si="7"/>
        <v>365</v>
      </c>
      <c r="U56" s="67">
        <f t="shared" si="8"/>
        <v>1</v>
      </c>
      <c r="V56" s="72">
        <f t="shared" si="9"/>
        <v>0</v>
      </c>
      <c r="W56" s="73">
        <f t="shared" si="10"/>
        <v>31</v>
      </c>
      <c r="X56" s="67"/>
    </row>
    <row r="57" spans="1:24" x14ac:dyDescent="0.25">
      <c r="A57" s="68">
        <f t="shared" si="2"/>
        <v>33</v>
      </c>
      <c r="B57" s="64">
        <f t="shared" si="21"/>
        <v>45200</v>
      </c>
      <c r="C57" s="64">
        <f t="shared" si="4"/>
        <v>45200</v>
      </c>
      <c r="D57" s="68">
        <f t="shared" si="19"/>
        <v>30</v>
      </c>
      <c r="E57" s="65">
        <f t="shared" si="20"/>
        <v>3603.2970390331193</v>
      </c>
      <c r="F57" s="65">
        <f>IF(AND(A56="",A58=""),"",IF(A57="",ROUND(SUM($F$25:F56),2),IF(A57=$D$8,$E$24-ROUND(SUM($F$25:F56),2),($G$9-G57))))</f>
        <v>1146.2434230596025</v>
      </c>
      <c r="G57" s="65">
        <f>IF(A56=$D$8,ROUND(SUM($G$25:G56),2),IF(A57&gt;$D$8,"",IF(T57&lt;&gt;T56,ROUND(SUM(V57*$D$9*E56/T57,W57*$D$9*E56/T56),2),ROUND(E56*$D$9*D57/T56,2))))</f>
        <v>191.28</v>
      </c>
      <c r="H57" s="65">
        <f>IF(A56=$D$8,SUM($H$25:H56),IF(A56&gt;$D$8,"",F57+G57+O57))</f>
        <v>1337.5234230596025</v>
      </c>
      <c r="I57" s="74" t="str">
        <f t="shared" si="22"/>
        <v/>
      </c>
      <c r="J57" s="74" t="str">
        <f t="shared" si="23"/>
        <v/>
      </c>
      <c r="K57" s="74" t="s">
        <v>143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>
        <f>IF(A56=$D$8,SUM($O$25:O56),IF(A56&gt;$D$8," ",$N$5*$D$6))</f>
        <v>0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1337.5234230596025</v>
      </c>
      <c r="S57" s="67">
        <f t="shared" si="6"/>
        <v>2023</v>
      </c>
      <c r="T57" s="67">
        <f t="shared" si="7"/>
        <v>365</v>
      </c>
      <c r="U57" s="67">
        <f t="shared" si="8"/>
        <v>1</v>
      </c>
      <c r="V57" s="72">
        <f t="shared" si="9"/>
        <v>0</v>
      </c>
      <c r="W57" s="73">
        <f t="shared" si="10"/>
        <v>30</v>
      </c>
      <c r="X57" s="67"/>
    </row>
    <row r="58" spans="1:24" x14ac:dyDescent="0.25">
      <c r="A58" s="68">
        <f t="shared" si="2"/>
        <v>34</v>
      </c>
      <c r="B58" s="64">
        <f t="shared" si="21"/>
        <v>45231</v>
      </c>
      <c r="C58" s="64">
        <f t="shared" si="4"/>
        <v>45231</v>
      </c>
      <c r="D58" s="68">
        <f t="shared" si="19"/>
        <v>31</v>
      </c>
      <c r="E58" s="65">
        <f t="shared" si="20"/>
        <v>2415.7336159735169</v>
      </c>
      <c r="F58" s="65">
        <f>IF(AND(A57="",A59=""),"",IF(A58="",ROUND(SUM($F$25:F57),2),IF(A58=$D$8,$E$24-ROUND(SUM($F$25:F57),2),($G$9-G58))))</f>
        <v>1187.5634230596024</v>
      </c>
      <c r="G58" s="65">
        <f>IF(A57=$D$8,ROUND(SUM($G$25:G57),2),IF(A58&gt;$D$8,"",IF(T58&lt;&gt;T57,ROUND(SUM(V58*$D$9*E57/T58,W58*$D$9*E57/T57),2),ROUND(E57*$D$9*D58/T57,2))))</f>
        <v>149.96</v>
      </c>
      <c r="H58" s="65">
        <f>IF(A57=$D$8,SUM($H$25:H57),IF(A57&gt;$D$8,"",F58+G58+O58))</f>
        <v>1337.5234230596025</v>
      </c>
      <c r="I58" s="74" t="str">
        <f t="shared" si="22"/>
        <v/>
      </c>
      <c r="J58" s="74" t="str">
        <f t="shared" si="23"/>
        <v/>
      </c>
      <c r="K58" s="74" t="s">
        <v>143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>
        <f>IF(A57=$D$8,SUM($O$25:O57),IF(A57&gt;$D$8," ",$N$5*$D$6))</f>
        <v>0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1337.5234230596025</v>
      </c>
      <c r="S58" s="67">
        <f t="shared" si="6"/>
        <v>2023</v>
      </c>
      <c r="T58" s="67">
        <f t="shared" si="7"/>
        <v>365</v>
      </c>
      <c r="U58" s="67">
        <f t="shared" si="8"/>
        <v>1</v>
      </c>
      <c r="V58" s="72">
        <f t="shared" si="9"/>
        <v>0</v>
      </c>
      <c r="W58" s="73">
        <f t="shared" si="10"/>
        <v>31</v>
      </c>
      <c r="X58" s="67"/>
    </row>
    <row r="59" spans="1:24" x14ac:dyDescent="0.25">
      <c r="A59" s="68">
        <f t="shared" si="2"/>
        <v>35</v>
      </c>
      <c r="B59" s="64">
        <f t="shared" si="21"/>
        <v>45261</v>
      </c>
      <c r="C59" s="64">
        <f t="shared" si="4"/>
        <v>45261</v>
      </c>
      <c r="D59" s="68">
        <f t="shared" si="19"/>
        <v>30</v>
      </c>
      <c r="E59" s="65">
        <f t="shared" si="20"/>
        <v>1175.5001929139144</v>
      </c>
      <c r="F59" s="65">
        <f>IF(AND(A58="",A60=""),"",IF(A59="",ROUND(SUM($F$25:F58),2),IF(A59=$D$8,$E$24-ROUND(SUM($F$25:F58),2),($G$9-G59))))</f>
        <v>1240.2334230596025</v>
      </c>
      <c r="G59" s="65">
        <f>IF(A58=$D$8,ROUND(SUM($G$25:G58),2),IF(A59&gt;$D$8,"",IF(T59&lt;&gt;T58,ROUND(SUM(V59*$D$9*E58/T59,W59*$D$9*E58/T58),2),ROUND(E58*$D$9*D59/T58,2))))</f>
        <v>97.29</v>
      </c>
      <c r="H59" s="65">
        <f>IF(A58=$D$8,SUM($H$25:H58),IF(A58&gt;$D$8,"",F59+G59+O59))</f>
        <v>1337.5234230596025</v>
      </c>
      <c r="I59" s="74" t="str">
        <f t="shared" si="22"/>
        <v/>
      </c>
      <c r="J59" s="74" t="str">
        <f t="shared" si="23"/>
        <v/>
      </c>
      <c r="K59" s="74" t="s">
        <v>144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>
        <f>IF(A58=$D$8,SUM($O$25:O58),IF(A58&gt;$D$8," ",$N$5*$D$6))</f>
        <v>0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1337.5234230596025</v>
      </c>
      <c r="S59" s="67">
        <f t="shared" si="6"/>
        <v>2023</v>
      </c>
      <c r="T59" s="67">
        <f t="shared" si="7"/>
        <v>365</v>
      </c>
      <c r="U59" s="67">
        <f t="shared" si="8"/>
        <v>1</v>
      </c>
      <c r="V59" s="72">
        <f t="shared" si="9"/>
        <v>0</v>
      </c>
      <c r="W59" s="73">
        <f t="shared" si="10"/>
        <v>30</v>
      </c>
      <c r="X59" s="67"/>
    </row>
    <row r="60" spans="1:24" x14ac:dyDescent="0.25">
      <c r="A60" s="68">
        <f t="shared" si="2"/>
        <v>36</v>
      </c>
      <c r="B60" s="64">
        <f t="shared" si="21"/>
        <v>45292</v>
      </c>
      <c r="C60" s="64">
        <f t="shared" si="4"/>
        <v>45291</v>
      </c>
      <c r="D60" s="68">
        <f t="shared" si="19"/>
        <v>30</v>
      </c>
      <c r="E60" s="65">
        <f t="shared" si="20"/>
        <v>1.9291391436127014E-4</v>
      </c>
      <c r="F60" s="65">
        <f>IF(AND(A59="",A61=""),"",IF(A60="",ROUND(SUM($F$25:F59),2),IF(A60=$D$8,$E$24-ROUND(SUM($F$25:F59),2),($G$9-G60))))</f>
        <v>1175.5</v>
      </c>
      <c r="G60" s="65">
        <f>IF(A59=$D$8,ROUND(SUM($G$25:G59),2),IF(A60&gt;$D$8,"",IF(T60&lt;&gt;T59,ROUND(SUM(V60*$D$9*E59/T60,W60*$D$9*E59/T59),2),ROUND(E59*$D$9*D60/T59,2))))</f>
        <v>47.34</v>
      </c>
      <c r="H60" s="65">
        <f>IF(A59=$D$8,SUM($H$25:H59),IF(A59&gt;$D$8,"",F60+G60+O60))</f>
        <v>1222.8399999999999</v>
      </c>
      <c r="I60" s="74" t="str">
        <f t="shared" si="22"/>
        <v/>
      </c>
      <c r="J60" s="74" t="str">
        <f t="shared" si="23"/>
        <v/>
      </c>
      <c r="K60" s="74" t="s">
        <v>143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>
        <f>IF(A59=$D$8,SUM($O$25:O59),IF(A59&gt;$D$8," ",$N$5*$D$6))</f>
        <v>0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1222.8399999999999</v>
      </c>
      <c r="S60" s="67">
        <f t="shared" si="6"/>
        <v>2023</v>
      </c>
      <c r="T60" s="67">
        <f t="shared" si="7"/>
        <v>365</v>
      </c>
      <c r="U60" s="67">
        <f t="shared" si="8"/>
        <v>31</v>
      </c>
      <c r="V60" s="72">
        <f t="shared" si="9"/>
        <v>30</v>
      </c>
      <c r="W60" s="73">
        <f t="shared" si="10"/>
        <v>0</v>
      </c>
      <c r="X60" s="67"/>
    </row>
    <row r="61" spans="1:24" x14ac:dyDescent="0.25">
      <c r="A61" s="68" t="str">
        <f t="shared" si="2"/>
        <v/>
      </c>
      <c r="B61" s="64" t="str">
        <f t="shared" si="21"/>
        <v/>
      </c>
      <c r="C61" s="64" t="str">
        <f t="shared" si="4"/>
        <v xml:space="preserve"> </v>
      </c>
      <c r="D61" s="68" t="str">
        <f t="shared" si="19"/>
        <v/>
      </c>
      <c r="E61" s="65" t="str">
        <f t="shared" si="20"/>
        <v/>
      </c>
      <c r="F61" s="65">
        <f>IF(AND(A60="",A62=""),"",IF(A61="",ROUND(SUM($F$25:F60),2),IF(A61=$D$8,$E$24-ROUND(SUM($F$25:F60),2),($G$9-G61))))</f>
        <v>25001</v>
      </c>
      <c r="G61" s="65">
        <f>IF(A60=$D$8,ROUND(SUM($G$25:G60),2),IF(A61&gt;$D$8,"",IF(T61&lt;&gt;T60,ROUND(SUM(V61*$D$9*E60/T61,W61*$D$9*E60/T60),2),ROUND(E60*$D$9*D61/T60,2))))</f>
        <v>23035.16</v>
      </c>
      <c r="H61" s="65">
        <f>IF(A60=$D$8,SUM($H$25:H60),IF(A60&gt;$D$8,"",F61+G61+O61))</f>
        <v>48036.159807086107</v>
      </c>
      <c r="I61" s="74">
        <f t="shared" si="22"/>
        <v>0</v>
      </c>
      <c r="J61" s="74">
        <f>IF($D$8&gt;A60,$N$9,IF(A60=36,SUM($J$24:J60)," "))</f>
        <v>0</v>
      </c>
      <c r="K61" s="74">
        <f>IF($D$8&gt;36,($O$8+$N$10*E60),IF($A$60=$D$8,$K$37+$K$24+$K$49,""))</f>
        <v>0</v>
      </c>
      <c r="L61" s="74">
        <f t="shared" si="24"/>
        <v>0</v>
      </c>
      <c r="M61" s="65">
        <f t="shared" si="17"/>
        <v>1500.06</v>
      </c>
      <c r="N61" s="65">
        <f t="shared" si="14"/>
        <v>0</v>
      </c>
      <c r="O61" s="65">
        <f>IF(A60=$D$8,SUM($O$25:O60),IF(A60&gt;$D$8," ",$N$5*$D$6))</f>
        <v>0</v>
      </c>
      <c r="P61" s="70">
        <f>IF(A60=$D$8,XIRR(H$24:H60,C$24:C60),"")</f>
        <v>0.70417424440383902</v>
      </c>
      <c r="Q61" s="74">
        <f t="shared" si="13"/>
        <v>49536.22</v>
      </c>
      <c r="R61" s="65">
        <f t="shared" si="5"/>
        <v>99073.143981330504</v>
      </c>
      <c r="S61" s="67" t="e">
        <f t="shared" si="6"/>
        <v>#VALUE!</v>
      </c>
      <c r="T61" s="67" t="e">
        <f t="shared" si="7"/>
        <v>#VALUE!</v>
      </c>
      <c r="U61" s="67" t="e">
        <f t="shared" si="8"/>
        <v>#VALUE!</v>
      </c>
      <c r="V61" s="72" t="e">
        <f t="shared" si="9"/>
        <v>#VALUE!</v>
      </c>
      <c r="W61" s="73" t="e">
        <f t="shared" si="10"/>
        <v>#VALUE!</v>
      </c>
      <c r="X61" s="67"/>
    </row>
    <row r="62" spans="1:24" x14ac:dyDescent="0.25">
      <c r="A62" s="68" t="str">
        <f t="shared" si="2"/>
        <v/>
      </c>
      <c r="B62" s="64" t="str">
        <f t="shared" si="21"/>
        <v/>
      </c>
      <c r="C62" s="64" t="str">
        <f t="shared" si="4"/>
        <v xml:space="preserve"> </v>
      </c>
      <c r="D62" s="68" t="str">
        <f t="shared" si="19"/>
        <v/>
      </c>
      <c r="E62" s="65" t="str">
        <f t="shared" si="20"/>
        <v/>
      </c>
      <c r="F62" s="65" t="str">
        <f>IF(AND(A61="",A63=""),"",IF(A62="",ROUND(SUM($F$25:F61),2),IF(A62=$D$8,$E$24-ROUND(SUM($F$25:F61),2),($G$9-G62))))</f>
        <v/>
      </c>
      <c r="G62" s="65" t="str">
        <f>IF(A61=$D$8,ROUND(SUM($G$25:G61),2),IF(A62&gt;$D$8,"",IF(T62&lt;&gt;T61,ROUND(SUM(V62*$D$9*E61/T62,W62*$D$9*E61/T61),2),ROUND(E61*$D$9*D62/T61,2))))</f>
        <v/>
      </c>
      <c r="H62" s="65" t="str">
        <f>IF(A61=$D$8,SUM($H$25:H61),IF(A61&gt;$D$8,"",F62+G62+O62))</f>
        <v/>
      </c>
      <c r="I62" s="74" t="str">
        <f t="shared" si="22"/>
        <v/>
      </c>
      <c r="J62" s="74" t="str">
        <f t="shared" si="23"/>
        <v/>
      </c>
      <c r="K62" s="74" t="s">
        <v>143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 t="str">
        <f>IF(A61=$D$8,SUM($O$25:O61),IF(A61&gt;$D$8," ",$N$5*$D$6))</f>
        <v xml:space="preserve"> 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0</v>
      </c>
      <c r="S62" s="67" t="e">
        <f t="shared" si="6"/>
        <v>#VALUE!</v>
      </c>
      <c r="T62" s="67" t="e">
        <f t="shared" si="7"/>
        <v>#VALUE!</v>
      </c>
      <c r="U62" s="67" t="e">
        <f t="shared" si="8"/>
        <v>#VALUE!</v>
      </c>
      <c r="V62" s="72" t="e">
        <f t="shared" si="9"/>
        <v>#VALUE!</v>
      </c>
      <c r="W62" s="73" t="e">
        <f t="shared" si="10"/>
        <v>#VALUE!</v>
      </c>
      <c r="X62" s="67"/>
    </row>
    <row r="63" spans="1:24" x14ac:dyDescent="0.25">
      <c r="A63" s="68" t="str">
        <f t="shared" si="2"/>
        <v/>
      </c>
      <c r="B63" s="64" t="str">
        <f t="shared" si="21"/>
        <v/>
      </c>
      <c r="C63" s="64" t="str">
        <f t="shared" si="4"/>
        <v xml:space="preserve"> </v>
      </c>
      <c r="D63" s="68" t="str">
        <f t="shared" si="19"/>
        <v/>
      </c>
      <c r="E63" s="65" t="str">
        <f t="shared" si="20"/>
        <v/>
      </c>
      <c r="F63" s="65" t="str">
        <f>IF(AND(A62="",A64=""),"",IF(A63="",ROUND(SUM($F$25:F62),2),IF(A63=$D$8,$E$24-ROUND(SUM($F$25:F62),2),($G$9-G63))))</f>
        <v/>
      </c>
      <c r="G63" s="65" t="str">
        <f>IF(A62=$D$8,ROUND(SUM($G$25:G62),2),IF(A63&gt;$D$8,"",IF(T63&lt;&gt;T62,ROUND(SUM(V63*$D$9*E62/T63,W63*$D$9*E62/T62),2),ROUND(E62*$D$9*D63/T62,2))))</f>
        <v/>
      </c>
      <c r="H63" s="65" t="str">
        <f>IF(A62=$D$8,SUM($H$25:H62),IF(A62&gt;$D$8,"",F63+G63+O63))</f>
        <v/>
      </c>
      <c r="I63" s="74" t="str">
        <f t="shared" si="22"/>
        <v/>
      </c>
      <c r="J63" s="74" t="str">
        <f t="shared" si="23"/>
        <v/>
      </c>
      <c r="K63" s="74" t="s">
        <v>143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 t="str">
        <f>IF(A62=$D$8,SUM($O$25:O62),IF(A62&gt;$D$8," ",$N$5*$D$6))</f>
        <v xml:space="preserve"> 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0</v>
      </c>
      <c r="S63" s="67" t="e">
        <f t="shared" si="6"/>
        <v>#VALUE!</v>
      </c>
      <c r="T63" s="67" t="e">
        <f t="shared" si="7"/>
        <v>#VALUE!</v>
      </c>
      <c r="U63" s="67" t="e">
        <f t="shared" si="8"/>
        <v>#VALUE!</v>
      </c>
      <c r="V63" s="72" t="e">
        <f t="shared" si="9"/>
        <v>#VALUE!</v>
      </c>
      <c r="W63" s="73" t="e">
        <f t="shared" si="10"/>
        <v>#VALUE!</v>
      </c>
      <c r="X63" s="67"/>
    </row>
    <row r="64" spans="1:24" x14ac:dyDescent="0.25">
      <c r="A64" s="68" t="str">
        <f t="shared" si="2"/>
        <v/>
      </c>
      <c r="B64" s="64" t="str">
        <f t="shared" si="21"/>
        <v/>
      </c>
      <c r="C64" s="64" t="str">
        <f t="shared" si="4"/>
        <v xml:space="preserve"> </v>
      </c>
      <c r="D64" s="68" t="str">
        <f t="shared" si="19"/>
        <v/>
      </c>
      <c r="E64" s="65" t="str">
        <f t="shared" si="20"/>
        <v/>
      </c>
      <c r="F64" s="65" t="str">
        <f>IF(AND(A63="",A65=""),"",IF(A64="",ROUND(SUM($F$25:F63),2),IF(A64=$D$8,$E$24-ROUND(SUM($F$25:F63),2),($G$9-G64))))</f>
        <v/>
      </c>
      <c r="G64" s="65" t="str">
        <f>IF(A63=$D$8,ROUND(SUM($G$25:G63),2),IF(A64&gt;$D$8,"",IF(T64&lt;&gt;T63,ROUND(SUM(V64*$D$9*E63/T64,W64*$D$9*E63/T63),2),ROUND(E63*$D$9*D64/T63,2))))</f>
        <v/>
      </c>
      <c r="H64" s="65" t="str">
        <f>IF(A63=$D$8,SUM($H$25:H63),IF(A63&gt;$D$8,"",F64+G64+O64))</f>
        <v/>
      </c>
      <c r="I64" s="74" t="str">
        <f t="shared" si="22"/>
        <v/>
      </c>
      <c r="J64" s="74" t="str">
        <f t="shared" si="23"/>
        <v/>
      </c>
      <c r="K64" s="74" t="s">
        <v>143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 t="str">
        <f>IF(A63=$D$8,SUM($O$25:O63),IF(A63&gt;$D$8," ",$N$5*$D$6))</f>
        <v xml:space="preserve"> 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0</v>
      </c>
      <c r="S64" s="67" t="e">
        <f t="shared" si="6"/>
        <v>#VALUE!</v>
      </c>
      <c r="T64" s="67" t="e">
        <f t="shared" si="7"/>
        <v>#VALUE!</v>
      </c>
      <c r="U64" s="67" t="e">
        <f t="shared" si="8"/>
        <v>#VALUE!</v>
      </c>
      <c r="V64" s="72" t="e">
        <f t="shared" si="9"/>
        <v>#VALUE!</v>
      </c>
      <c r="W64" s="73" t="e">
        <f t="shared" si="10"/>
        <v>#VALUE!</v>
      </c>
      <c r="X64" s="67"/>
    </row>
    <row r="65" spans="1:24" x14ac:dyDescent="0.25">
      <c r="A65" s="68" t="str">
        <f t="shared" si="2"/>
        <v/>
      </c>
      <c r="B65" s="64" t="str">
        <f t="shared" si="21"/>
        <v/>
      </c>
      <c r="C65" s="64" t="str">
        <f t="shared" si="4"/>
        <v xml:space="preserve"> </v>
      </c>
      <c r="D65" s="68" t="str">
        <f t="shared" si="19"/>
        <v/>
      </c>
      <c r="E65" s="65" t="str">
        <f t="shared" si="20"/>
        <v/>
      </c>
      <c r="F65" s="65" t="str">
        <f>IF(AND(A64="",A66=""),"",IF(A65="",ROUND(SUM($F$25:F64),2),IF(A65=$D$8,$E$24-ROUND(SUM($F$25:F64),2),($G$9-G65))))</f>
        <v/>
      </c>
      <c r="G65" s="65" t="str">
        <f>IF(A64=$D$8,ROUND(SUM($G$25:G64),2),IF(A65&gt;$D$8,"",IF(T65&lt;&gt;T64,ROUND(SUM(V65*$D$9*E64/T65,W65*$D$9*E64/T64),2),ROUND(E64*$D$9*D65/T64,2))))</f>
        <v/>
      </c>
      <c r="H65" s="65" t="str">
        <f>IF(A64=$D$8,SUM($H$25:H64),IF(A64&gt;$D$8,"",F65+G65+O65))</f>
        <v/>
      </c>
      <c r="I65" s="74" t="str">
        <f t="shared" si="22"/>
        <v/>
      </c>
      <c r="J65" s="74" t="str">
        <f t="shared" si="23"/>
        <v/>
      </c>
      <c r="K65" s="74" t="s">
        <v>143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 t="str">
        <f>IF(A64=$D$8,SUM($O$25:O64),IF(A64&gt;$D$8," ",$N$5*$D$6))</f>
        <v xml:space="preserve"> 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0</v>
      </c>
      <c r="S65" s="67" t="e">
        <f t="shared" si="6"/>
        <v>#VALUE!</v>
      </c>
      <c r="T65" s="67" t="e">
        <f t="shared" si="7"/>
        <v>#VALUE!</v>
      </c>
      <c r="U65" s="67" t="e">
        <f t="shared" si="8"/>
        <v>#VALUE!</v>
      </c>
      <c r="V65" s="72" t="e">
        <f t="shared" si="9"/>
        <v>#VALUE!</v>
      </c>
      <c r="W65" s="73" t="e">
        <f t="shared" si="10"/>
        <v>#VALUE!</v>
      </c>
      <c r="X65" s="67"/>
    </row>
    <row r="66" spans="1:24" x14ac:dyDescent="0.25">
      <c r="A66" s="68" t="str">
        <f t="shared" si="2"/>
        <v/>
      </c>
      <c r="B66" s="64" t="str">
        <f t="shared" si="21"/>
        <v/>
      </c>
      <c r="C66" s="64" t="str">
        <f t="shared" si="4"/>
        <v xml:space="preserve"> </v>
      </c>
      <c r="D66" s="68" t="str">
        <f t="shared" si="19"/>
        <v/>
      </c>
      <c r="E66" s="65" t="str">
        <f t="shared" si="20"/>
        <v/>
      </c>
      <c r="F66" s="65" t="str">
        <f>IF(AND(A65="",A67=""),"",IF(A66="",ROUND(SUM($F$25:F65),2),IF(A66=$D$8,$E$24-ROUND(SUM($F$25:F65),2),($G$9-G66))))</f>
        <v/>
      </c>
      <c r="G66" s="65" t="str">
        <f>IF(A65=$D$8,ROUND(SUM($G$25:G65),2),IF(A66&gt;$D$8,"",IF(T66&lt;&gt;T65,ROUND(SUM(V66*$D$9*E65/T66,W66*$D$9*E65/T65),2),ROUND(E65*$D$9*D66/T65,2))))</f>
        <v/>
      </c>
      <c r="H66" s="65" t="str">
        <f>IF(A65=$D$8,SUM($H$25:H65),IF(A65&gt;$D$8,"",F66+G66+O66))</f>
        <v/>
      </c>
      <c r="I66" s="74" t="str">
        <f t="shared" si="22"/>
        <v/>
      </c>
      <c r="J66" s="74" t="str">
        <f t="shared" si="23"/>
        <v/>
      </c>
      <c r="K66" s="74" t="s">
        <v>143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 t="str">
        <f>IF(A65=$D$8,SUM($O$25:O65),IF(A65&gt;$D$8," ",$N$5*$D$6))</f>
        <v xml:space="preserve"> 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0</v>
      </c>
      <c r="S66" s="67" t="e">
        <f t="shared" si="6"/>
        <v>#VALUE!</v>
      </c>
      <c r="T66" s="67" t="e">
        <f t="shared" si="7"/>
        <v>#VALUE!</v>
      </c>
      <c r="U66" s="67" t="e">
        <f t="shared" si="8"/>
        <v>#VALUE!</v>
      </c>
      <c r="V66" s="72" t="e">
        <f t="shared" si="9"/>
        <v>#VALUE!</v>
      </c>
      <c r="W66" s="73" t="e">
        <f t="shared" si="10"/>
        <v>#VALUE!</v>
      </c>
      <c r="X66" s="67"/>
    </row>
    <row r="67" spans="1:24" x14ac:dyDescent="0.25">
      <c r="A67" s="68" t="str">
        <f t="shared" si="2"/>
        <v/>
      </c>
      <c r="B67" s="64" t="str">
        <f t="shared" si="21"/>
        <v/>
      </c>
      <c r="C67" s="64" t="str">
        <f t="shared" si="4"/>
        <v xml:space="preserve"> </v>
      </c>
      <c r="D67" s="68" t="str">
        <f t="shared" si="19"/>
        <v/>
      </c>
      <c r="E67" s="65" t="str">
        <f t="shared" si="20"/>
        <v/>
      </c>
      <c r="F67" s="65" t="str">
        <f>IF(AND(A66="",A68=""),"",IF(A67="",ROUND(SUM($F$25:F66),2),IF(A67=$D$8,$E$24-ROUND(SUM($F$25:F66),2),($G$9-G67))))</f>
        <v/>
      </c>
      <c r="G67" s="65" t="str">
        <f>IF(A66=$D$8,ROUND(SUM($G$25:G66),2),IF(A67&gt;$D$8,"",IF(T67&lt;&gt;T66,ROUND(SUM(V67*$D$9*E66/T67,W67*$D$9*E66/T66),2),ROUND(E66*$D$9*D67/T66,2))))</f>
        <v/>
      </c>
      <c r="H67" s="65" t="str">
        <f>IF(A66=$D$8,SUM($H$25:H66),IF(A66&gt;$D$8,"",F67+G67+O67))</f>
        <v/>
      </c>
      <c r="I67" s="74" t="str">
        <f t="shared" si="22"/>
        <v/>
      </c>
      <c r="J67" s="74" t="str">
        <f t="shared" si="23"/>
        <v/>
      </c>
      <c r="K67" s="74" t="s">
        <v>143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 t="str">
        <f>IF(A66=$D$8,SUM($O$25:O66),IF(A66&gt;$D$8," ",$N$5*$D$6))</f>
        <v xml:space="preserve"> 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0</v>
      </c>
      <c r="S67" s="67" t="e">
        <f t="shared" si="6"/>
        <v>#VALUE!</v>
      </c>
      <c r="T67" s="67" t="e">
        <f t="shared" si="7"/>
        <v>#VALUE!</v>
      </c>
      <c r="U67" s="67" t="e">
        <f t="shared" si="8"/>
        <v>#VALUE!</v>
      </c>
      <c r="V67" s="72" t="e">
        <f t="shared" si="9"/>
        <v>#VALUE!</v>
      </c>
      <c r="W67" s="73" t="e">
        <f t="shared" si="10"/>
        <v>#VALUE!</v>
      </c>
      <c r="X67" s="67"/>
    </row>
    <row r="68" spans="1:24" x14ac:dyDescent="0.25">
      <c r="A68" s="68" t="str">
        <f t="shared" si="2"/>
        <v/>
      </c>
      <c r="B68" s="64" t="str">
        <f t="shared" si="21"/>
        <v/>
      </c>
      <c r="C68" s="64" t="str">
        <f t="shared" si="4"/>
        <v xml:space="preserve"> </v>
      </c>
      <c r="D68" s="68" t="str">
        <f t="shared" si="19"/>
        <v/>
      </c>
      <c r="E68" s="65" t="str">
        <f t="shared" si="20"/>
        <v/>
      </c>
      <c r="F68" s="65" t="str">
        <f>IF(AND(A67="",A69=""),"",IF(A68="",ROUND(SUM($F$25:F67),2),IF(A68=$D$8,$E$24-ROUND(SUM($F$25:F67),2),($G$9-G68))))</f>
        <v/>
      </c>
      <c r="G68" s="65" t="str">
        <f>IF(A67=$D$8,ROUND(SUM($G$25:G67),2),IF(A68&gt;$D$8,"",IF(T68&lt;&gt;T67,ROUND(SUM(V68*$D$9*E67/T68,W68*$D$9*E67/T67),2),ROUND(E67*$D$9*D68/T67,2))))</f>
        <v/>
      </c>
      <c r="H68" s="65" t="str">
        <f>IF(A67=$D$8,SUM($H$25:H67),IF(A67&gt;$D$8,"",F68+G68+O68))</f>
        <v/>
      </c>
      <c r="I68" s="74" t="str">
        <f t="shared" si="22"/>
        <v/>
      </c>
      <c r="J68" s="74" t="str">
        <f t="shared" si="23"/>
        <v/>
      </c>
      <c r="K68" s="74" t="s">
        <v>143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 t="str">
        <f>IF(A67=$D$8,SUM($O$25:O67),IF(A67&gt;$D$8," ",$N$5*$D$6))</f>
        <v xml:space="preserve"> 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0</v>
      </c>
      <c r="S68" s="67" t="e">
        <f t="shared" si="6"/>
        <v>#VALUE!</v>
      </c>
      <c r="T68" s="67" t="e">
        <f t="shared" si="7"/>
        <v>#VALUE!</v>
      </c>
      <c r="U68" s="67" t="e">
        <f t="shared" si="8"/>
        <v>#VALUE!</v>
      </c>
      <c r="V68" s="72" t="e">
        <f t="shared" si="9"/>
        <v>#VALUE!</v>
      </c>
      <c r="W68" s="73" t="e">
        <f t="shared" si="10"/>
        <v>#VALUE!</v>
      </c>
      <c r="X68" s="67"/>
    </row>
    <row r="69" spans="1:24" x14ac:dyDescent="0.25">
      <c r="A69" s="68" t="str">
        <f t="shared" si="2"/>
        <v/>
      </c>
      <c r="B69" s="64" t="str">
        <f t="shared" si="21"/>
        <v/>
      </c>
      <c r="C69" s="64" t="str">
        <f t="shared" si="4"/>
        <v xml:space="preserve"> </v>
      </c>
      <c r="D69" s="68" t="str">
        <f t="shared" si="19"/>
        <v/>
      </c>
      <c r="E69" s="65" t="str">
        <f t="shared" si="20"/>
        <v/>
      </c>
      <c r="F69" s="65" t="str">
        <f>IF(AND(A68="",A70=""),"",IF(A69="",ROUND(SUM($F$25:F68),2),IF(A69=$D$8,$E$24-ROUND(SUM($F$25:F68),2),($G$9-G69))))</f>
        <v/>
      </c>
      <c r="G69" s="65" t="str">
        <f>IF(A68=$D$8,ROUND(SUM($G$25:G68),2),IF(A69&gt;$D$8,"",IF(T69&lt;&gt;T68,ROUND(SUM(V69*$D$9*E68/T69,W69*$D$9*E68/T68),2),ROUND(E68*$D$9*D69/T68,2))))</f>
        <v/>
      </c>
      <c r="H69" s="65" t="str">
        <f>IF(A68=$D$8,SUM($H$25:H68),IF(A68&gt;$D$8,"",F69+G69+O69))</f>
        <v/>
      </c>
      <c r="I69" s="74" t="str">
        <f t="shared" si="22"/>
        <v/>
      </c>
      <c r="J69" s="74" t="str">
        <f t="shared" si="23"/>
        <v/>
      </c>
      <c r="K69" s="74" t="s">
        <v>143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 t="str">
        <f>IF(A68=$D$8,SUM($O$25:O68),IF(A68&gt;$D$8," ",$N$5*$D$6))</f>
        <v xml:space="preserve"> 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0</v>
      </c>
      <c r="S69" s="67" t="e">
        <f t="shared" si="6"/>
        <v>#VALUE!</v>
      </c>
      <c r="T69" s="67" t="e">
        <f t="shared" si="7"/>
        <v>#VALUE!</v>
      </c>
      <c r="U69" s="67" t="e">
        <f t="shared" si="8"/>
        <v>#VALUE!</v>
      </c>
      <c r="V69" s="72" t="e">
        <f t="shared" si="9"/>
        <v>#VALUE!</v>
      </c>
      <c r="W69" s="73" t="e">
        <f t="shared" si="10"/>
        <v>#VALUE!</v>
      </c>
      <c r="X69" s="67"/>
    </row>
    <row r="70" spans="1:24" x14ac:dyDescent="0.25">
      <c r="A70" s="68" t="str">
        <f t="shared" si="2"/>
        <v/>
      </c>
      <c r="B70" s="64" t="str">
        <f t="shared" si="21"/>
        <v/>
      </c>
      <c r="C70" s="64" t="str">
        <f t="shared" si="4"/>
        <v xml:space="preserve"> </v>
      </c>
      <c r="D70" s="68" t="str">
        <f t="shared" si="19"/>
        <v/>
      </c>
      <c r="E70" s="65" t="str">
        <f t="shared" si="20"/>
        <v/>
      </c>
      <c r="F70" s="65" t="str">
        <f>IF(AND(A69="",A71=""),"",IF(A70="",ROUND(SUM($F$25:F69),2),IF(A70=$D$8,$E$24-ROUND(SUM($F$25:F69),2),($G$9-G70))))</f>
        <v/>
      </c>
      <c r="G70" s="65" t="str">
        <f>IF(A69=$D$8,ROUND(SUM($G$25:G69),2),IF(A70&gt;$D$8,"",IF(T70&lt;&gt;T69,ROUND(SUM(V70*$D$9*E69/T70,W70*$D$9*E69/T69),2),ROUND(E69*$D$9*D70/T69,2))))</f>
        <v/>
      </c>
      <c r="H70" s="65" t="str">
        <f>IF(A69=$D$8,SUM($H$25:H69),IF(A69&gt;$D$8,"",F70+G70+O70))</f>
        <v/>
      </c>
      <c r="I70" s="74" t="str">
        <f t="shared" si="22"/>
        <v/>
      </c>
      <c r="J70" s="74" t="str">
        <f t="shared" si="23"/>
        <v/>
      </c>
      <c r="K70" s="74" t="s">
        <v>143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 t="str">
        <f>IF(A69=$D$8,SUM($O$25:O69),IF(A69&gt;$D$8," ",$N$5*$D$6))</f>
        <v xml:space="preserve"> 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0</v>
      </c>
      <c r="S70" s="67" t="e">
        <f t="shared" si="6"/>
        <v>#VALUE!</v>
      </c>
      <c r="T70" s="67" t="e">
        <f t="shared" si="7"/>
        <v>#VALUE!</v>
      </c>
      <c r="U70" s="67" t="e">
        <f t="shared" si="8"/>
        <v>#VALUE!</v>
      </c>
      <c r="V70" s="72" t="e">
        <f t="shared" si="9"/>
        <v>#VALUE!</v>
      </c>
      <c r="W70" s="73" t="e">
        <f t="shared" si="10"/>
        <v>#VALUE!</v>
      </c>
      <c r="X70" s="67"/>
    </row>
    <row r="71" spans="1:24" x14ac:dyDescent="0.25">
      <c r="A71" s="68" t="str">
        <f t="shared" si="2"/>
        <v/>
      </c>
      <c r="B71" s="64" t="str">
        <f t="shared" si="21"/>
        <v/>
      </c>
      <c r="C71" s="64" t="str">
        <f t="shared" si="4"/>
        <v xml:space="preserve"> </v>
      </c>
      <c r="D71" s="68" t="str">
        <f t="shared" si="19"/>
        <v/>
      </c>
      <c r="E71" s="65" t="str">
        <f t="shared" si="20"/>
        <v/>
      </c>
      <c r="F71" s="65" t="str">
        <f>IF(AND(A70="",A72=""),"",IF(A71="",ROUND(SUM($F$25:F70),2),IF(A71=$D$8,$E$24-ROUND(SUM($F$25:F70),2),($G$9-G71))))</f>
        <v/>
      </c>
      <c r="G71" s="65" t="str">
        <f>IF(A70=$D$8,ROUND(SUM($G$25:G70),2),IF(A71&gt;$D$8,"",IF(T71&lt;&gt;T70,ROUND(SUM(V71*$D$9*E70/T71,W71*$D$9*E70/T70),2),ROUND(E70*$D$9*D71/T70,2))))</f>
        <v/>
      </c>
      <c r="H71" s="65" t="str">
        <f>IF(A70=$D$8,SUM($H$25:H70),IF(A70&gt;$D$8,"",F71+G71+O71))</f>
        <v/>
      </c>
      <c r="I71" s="74" t="str">
        <f t="shared" si="22"/>
        <v/>
      </c>
      <c r="J71" s="74" t="str">
        <f t="shared" si="23"/>
        <v/>
      </c>
      <c r="K71" s="74" t="s">
        <v>143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 t="str">
        <f>IF(A70=$D$8,SUM($O$25:O70),IF(A70&gt;$D$8," ",$N$5*$D$6))</f>
        <v xml:space="preserve"> 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0</v>
      </c>
      <c r="S71" s="67" t="e">
        <f t="shared" si="6"/>
        <v>#VALUE!</v>
      </c>
      <c r="T71" s="67" t="e">
        <f t="shared" si="7"/>
        <v>#VALUE!</v>
      </c>
      <c r="U71" s="67" t="e">
        <f t="shared" si="8"/>
        <v>#VALUE!</v>
      </c>
      <c r="V71" s="72" t="e">
        <f t="shared" si="9"/>
        <v>#VALUE!</v>
      </c>
      <c r="W71" s="73" t="e">
        <f t="shared" si="10"/>
        <v>#VALUE!</v>
      </c>
      <c r="X71" s="67"/>
    </row>
    <row r="72" spans="1:24" x14ac:dyDescent="0.25">
      <c r="A72" s="68" t="str">
        <f t="shared" si="2"/>
        <v/>
      </c>
      <c r="B72" s="64" t="str">
        <f t="shared" si="21"/>
        <v/>
      </c>
      <c r="C72" s="64" t="str">
        <f t="shared" si="4"/>
        <v xml:space="preserve"> </v>
      </c>
      <c r="D72" s="68" t="str">
        <f t="shared" si="19"/>
        <v/>
      </c>
      <c r="E72" s="65" t="str">
        <f t="shared" si="20"/>
        <v/>
      </c>
      <c r="F72" s="65" t="str">
        <f>IF(AND(A71="",A73=""),"",IF(A72="",ROUND(SUM($F$25:F71),2),IF(A72=$D$8,$E$24-ROUND(SUM($F$25:F71),2),($G$9-G72))))</f>
        <v/>
      </c>
      <c r="G72" s="65" t="str">
        <f>IF(A71=$D$8,ROUND(SUM($G$25:G71),2),IF(A72&gt;$D$8,"",IF(T72&lt;&gt;T71,ROUND(SUM(V72*$D$9*E71/T72,W72*$D$9*E71/T71),2),ROUND(E71*$D$9*D72/T71,2))))</f>
        <v/>
      </c>
      <c r="H72" s="65" t="str">
        <f>IF(A71=$D$8,SUM($H$25:H71),IF(A71&gt;$D$8,"",F72+G72+O72))</f>
        <v/>
      </c>
      <c r="I72" s="74" t="str">
        <f t="shared" si="22"/>
        <v/>
      </c>
      <c r="J72" s="74" t="str">
        <f t="shared" si="23"/>
        <v/>
      </c>
      <c r="K72" s="74" t="s">
        <v>143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 t="str">
        <f>IF(A71=$D$8,SUM($O$25:O71),IF(A71&gt;$D$8," ",$N$5*$D$6))</f>
        <v xml:space="preserve"> 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0</v>
      </c>
      <c r="S72" s="67" t="e">
        <f t="shared" si="6"/>
        <v>#VALUE!</v>
      </c>
      <c r="T72" s="67" t="e">
        <f t="shared" si="7"/>
        <v>#VALUE!</v>
      </c>
      <c r="U72" s="67" t="e">
        <f t="shared" si="8"/>
        <v>#VALUE!</v>
      </c>
      <c r="V72" s="72" t="e">
        <f t="shared" si="9"/>
        <v>#VALUE!</v>
      </c>
      <c r="W72" s="73" t="e">
        <f t="shared" si="10"/>
        <v>#VALUE!</v>
      </c>
      <c r="X72" s="67"/>
    </row>
    <row r="73" spans="1:24" x14ac:dyDescent="0.25">
      <c r="A73" s="68" t="str">
        <f t="shared" si="2"/>
        <v/>
      </c>
      <c r="B73" s="64" t="str">
        <f t="shared" si="21"/>
        <v/>
      </c>
      <c r="C73" s="64" t="str">
        <f t="shared" si="4"/>
        <v xml:space="preserve"> </v>
      </c>
      <c r="D73" s="68" t="str">
        <f t="shared" si="19"/>
        <v/>
      </c>
      <c r="E73" s="65" t="str">
        <f t="shared" si="20"/>
        <v/>
      </c>
      <c r="F73" s="65" t="str">
        <f>IF(AND(A72="",A74=""),"",IF(A73="",ROUND(SUM($F$25:F72),2),IF(A73=$D$8,$E$24-ROUND(SUM($F$25:F72),2),($G$9-G73))))</f>
        <v/>
      </c>
      <c r="G73" s="65" t="str">
        <f>IF(A72=$D$8,ROUND(SUM($G$25:G72),2),IF(A73&gt;$D$8,"",IF(T73&lt;&gt;T72,ROUND(SUM(V73*$D$9*E72/T73,W73*$D$9*E72/T72),2),ROUND(E72*$D$9*D73/T72,2))))</f>
        <v/>
      </c>
      <c r="H73" s="65" t="str">
        <f>IF(A72=$D$8,SUM($H$25:H72),IF(A72&gt;$D$8,"",F73+G73+O73))</f>
        <v/>
      </c>
      <c r="I73" s="74" t="str">
        <f t="shared" si="22"/>
        <v/>
      </c>
      <c r="J73" s="74" t="str">
        <f>IF($D$8&gt;A72,$N$9,IF(A72=48,SUM($J$24:J72)," "))</f>
        <v xml:space="preserve"> </v>
      </c>
      <c r="K73" s="74" t="str">
        <f>IF($D$8&gt;48,($O$8+$N$10*E72),IF($A$72=$D$8,$K$37+$K$24+$K$49+$K$61,""))</f>
        <v/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 t="str">
        <f>IF(A72=$D$8,SUM($O$25:O72),IF(A72&gt;$D$8," ",$N$5*$D$6))</f>
        <v xml:space="preserve"> 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0</v>
      </c>
      <c r="S73" s="67" t="e">
        <f t="shared" si="6"/>
        <v>#VALUE!</v>
      </c>
      <c r="T73" s="67" t="e">
        <f t="shared" si="7"/>
        <v>#VALUE!</v>
      </c>
      <c r="U73" s="67" t="e">
        <f t="shared" si="8"/>
        <v>#VALUE!</v>
      </c>
      <c r="V73" s="72" t="e">
        <f t="shared" si="9"/>
        <v>#VALUE!</v>
      </c>
      <c r="W73" s="73" t="e">
        <f t="shared" si="10"/>
        <v>#VALUE!</v>
      </c>
      <c r="X73" s="67"/>
    </row>
    <row r="74" spans="1:24" x14ac:dyDescent="0.25">
      <c r="A74" s="68" t="str">
        <f t="shared" si="2"/>
        <v/>
      </c>
      <c r="B74" s="64" t="str">
        <f t="shared" si="21"/>
        <v/>
      </c>
      <c r="C74" s="64" t="str">
        <f t="shared" si="4"/>
        <v xml:space="preserve"> </v>
      </c>
      <c r="D74" s="68" t="str">
        <f t="shared" si="19"/>
        <v/>
      </c>
      <c r="E74" s="65" t="str">
        <f t="shared" si="20"/>
        <v/>
      </c>
      <c r="F74" s="65" t="str">
        <f>IF(AND(A73="",A75=""),"",IF(A74="",ROUND(SUM($F$25:F73),2),IF(A74=$D$8,$E$24-ROUND(SUM($F$25:F73),2),($G$9-G74))))</f>
        <v/>
      </c>
      <c r="G74" s="65" t="str">
        <f>IF(A73=$D$8,ROUND(SUM($G$25:G73),2),IF(A74&gt;$D$8,"",IF(T74&lt;&gt;T73,ROUND(SUM(V74*$D$9*E73/T74,W74*$D$9*E73/T73),2),ROUND(E73*$D$9*D74/T73,2))))</f>
        <v/>
      </c>
      <c r="H74" s="65" t="str">
        <f>IF(A73=$D$8,SUM($H$25:H73),IF(A73&gt;$D$8,"",F74+G74+O74))</f>
        <v/>
      </c>
      <c r="I74" s="74" t="str">
        <f t="shared" si="22"/>
        <v/>
      </c>
      <c r="J74" s="74" t="str">
        <f t="shared" si="23"/>
        <v/>
      </c>
      <c r="K74" s="74" t="s">
        <v>143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 t="str">
        <f>IF(A73=$D$8,SUM($O$25:O73),IF(A73&gt;$D$8," ",$N$5*$D$6))</f>
        <v xml:space="preserve"> 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0</v>
      </c>
      <c r="S74" s="67" t="e">
        <f t="shared" si="6"/>
        <v>#VALUE!</v>
      </c>
      <c r="T74" s="67" t="e">
        <f t="shared" si="7"/>
        <v>#VALUE!</v>
      </c>
      <c r="U74" s="67" t="e">
        <f t="shared" si="8"/>
        <v>#VALUE!</v>
      </c>
      <c r="V74" s="72" t="e">
        <f t="shared" si="9"/>
        <v>#VALUE!</v>
      </c>
      <c r="W74" s="73" t="e">
        <f t="shared" si="10"/>
        <v>#VALUE!</v>
      </c>
      <c r="X74" s="67"/>
    </row>
    <row r="75" spans="1:24" x14ac:dyDescent="0.25">
      <c r="A75" s="68" t="str">
        <f t="shared" si="2"/>
        <v/>
      </c>
      <c r="B75" s="64" t="str">
        <f t="shared" si="21"/>
        <v/>
      </c>
      <c r="C75" s="64" t="str">
        <f t="shared" si="4"/>
        <v xml:space="preserve"> </v>
      </c>
      <c r="D75" s="68" t="str">
        <f t="shared" si="19"/>
        <v/>
      </c>
      <c r="E75" s="65" t="str">
        <f t="shared" si="20"/>
        <v/>
      </c>
      <c r="F75" s="65" t="str">
        <f>IF(AND(A74="",A76=""),"",IF(A75="",ROUND(SUM($F$25:F74),2),IF(A75=$D$8,$E$24-ROUND(SUM($F$25:F74),2),($G$9-G75))))</f>
        <v/>
      </c>
      <c r="G75" s="65" t="str">
        <f>IF(A74=$D$8,ROUND(SUM($G$25:G74),2),IF(A75&gt;$D$8,"",IF(T75&lt;&gt;T74,ROUND(SUM(V75*$D$9*E74/T75,W75*$D$9*E74/T74),2),ROUND(E74*$D$9*D75/T74,2))))</f>
        <v/>
      </c>
      <c r="H75" s="65" t="str">
        <f>IF(A74=$D$8,SUM($H$25:H74),IF(A74&gt;$D$8,"",F75+G75+O75))</f>
        <v/>
      </c>
      <c r="I75" s="74" t="str">
        <f t="shared" si="22"/>
        <v/>
      </c>
      <c r="J75" s="74" t="str">
        <f t="shared" si="23"/>
        <v/>
      </c>
      <c r="K75" s="74" t="s">
        <v>143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 t="str">
        <f>IF(A74=$D$8,SUM($O$25:O74),IF(A74&gt;$D$8," ",$N$5*$D$6))</f>
        <v xml:space="preserve"> 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0</v>
      </c>
      <c r="S75" s="67" t="e">
        <f t="shared" si="6"/>
        <v>#VALUE!</v>
      </c>
      <c r="T75" s="67" t="e">
        <f t="shared" si="7"/>
        <v>#VALUE!</v>
      </c>
      <c r="U75" s="67" t="e">
        <f t="shared" si="8"/>
        <v>#VALUE!</v>
      </c>
      <c r="V75" s="72" t="e">
        <f t="shared" si="9"/>
        <v>#VALUE!</v>
      </c>
      <c r="W75" s="73" t="e">
        <f t="shared" si="10"/>
        <v>#VALUE!</v>
      </c>
      <c r="X75" s="67"/>
    </row>
    <row r="76" spans="1:24" x14ac:dyDescent="0.25">
      <c r="A76" s="68" t="str">
        <f t="shared" si="2"/>
        <v/>
      </c>
      <c r="B76" s="64" t="str">
        <f t="shared" si="21"/>
        <v/>
      </c>
      <c r="C76" s="64" t="str">
        <f t="shared" si="4"/>
        <v xml:space="preserve"> </v>
      </c>
      <c r="D76" s="68" t="str">
        <f t="shared" si="19"/>
        <v/>
      </c>
      <c r="E76" s="65" t="str">
        <f t="shared" si="20"/>
        <v/>
      </c>
      <c r="F76" s="65" t="str">
        <f>IF(AND(A75="",A77=""),"",IF(A76="",ROUND(SUM($F$25:F75),2),IF(A76=$D$8,$E$24-ROUND(SUM($F$25:F75),2),($G$9-G76))))</f>
        <v/>
      </c>
      <c r="G76" s="65" t="str">
        <f>IF(A75=$D$8,ROUND(SUM($G$25:G75),2),IF(A76&gt;$D$8,"",IF(T76&lt;&gt;T75,ROUND(SUM(V76*$D$9*E75/T76,W76*$D$9*E75/T75),2),ROUND(E75*$D$9*D76/T75,2))))</f>
        <v/>
      </c>
      <c r="H76" s="65" t="str">
        <f>IF(A75=$D$8,SUM($H$25:H75),IF(A75&gt;$D$8,"",F76+G76+O76))</f>
        <v/>
      </c>
      <c r="I76" s="74" t="str">
        <f t="shared" si="22"/>
        <v/>
      </c>
      <c r="J76" s="74" t="str">
        <f t="shared" si="23"/>
        <v/>
      </c>
      <c r="K76" s="74" t="s">
        <v>143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 t="str">
        <f>IF(A75=$D$8,SUM($O$25:O75),IF(A75&gt;$D$8," ",$N$5*$D$6))</f>
        <v xml:space="preserve"> 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0</v>
      </c>
      <c r="S76" s="67" t="e">
        <f t="shared" si="6"/>
        <v>#VALUE!</v>
      </c>
      <c r="T76" s="67" t="e">
        <f t="shared" si="7"/>
        <v>#VALUE!</v>
      </c>
      <c r="U76" s="67" t="e">
        <f t="shared" si="8"/>
        <v>#VALUE!</v>
      </c>
      <c r="V76" s="72" t="e">
        <f t="shared" si="9"/>
        <v>#VALUE!</v>
      </c>
      <c r="W76" s="73" t="e">
        <f t="shared" si="10"/>
        <v>#VALUE!</v>
      </c>
      <c r="X76" s="67"/>
    </row>
    <row r="77" spans="1:24" x14ac:dyDescent="0.25">
      <c r="A77" s="68" t="str">
        <f t="shared" si="2"/>
        <v/>
      </c>
      <c r="B77" s="64" t="str">
        <f t="shared" si="21"/>
        <v/>
      </c>
      <c r="C77" s="64" t="str">
        <f t="shared" si="4"/>
        <v xml:space="preserve"> </v>
      </c>
      <c r="D77" s="68" t="str">
        <f t="shared" si="19"/>
        <v/>
      </c>
      <c r="E77" s="65" t="str">
        <f t="shared" si="20"/>
        <v/>
      </c>
      <c r="F77" s="65" t="str">
        <f>IF(AND(A76="",A78=""),"",IF(A77="",ROUND(SUM($F$25:F76),2),IF(A77=$D$8,$E$24-ROUND(SUM($F$25:F76),2),($G$9-G77))))</f>
        <v/>
      </c>
      <c r="G77" s="65" t="str">
        <f>IF(A76=$D$8,ROUND(SUM($G$25:G76),2),IF(A77&gt;$D$8,"",IF(T77&lt;&gt;T76,ROUND(SUM(V77*$D$9*E76/T77,W77*$D$9*E76/T76),2),ROUND(E76*$D$9*D77/T76,2))))</f>
        <v/>
      </c>
      <c r="H77" s="65" t="str">
        <f>IF(A76=$D$8,SUM($H$25:H76),IF(A76&gt;$D$8,"",F77+G77+O77))</f>
        <v/>
      </c>
      <c r="I77" s="74" t="str">
        <f t="shared" si="22"/>
        <v/>
      </c>
      <c r="J77" s="74" t="str">
        <f t="shared" si="23"/>
        <v/>
      </c>
      <c r="K77" s="74" t="s">
        <v>143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 t="str">
        <f>IF(A76=$D$8,SUM($O$25:O76),IF(A76&gt;$D$8," ",$N$5*$D$6))</f>
        <v xml:space="preserve"> 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0</v>
      </c>
      <c r="S77" s="67" t="e">
        <f t="shared" si="6"/>
        <v>#VALUE!</v>
      </c>
      <c r="T77" s="67" t="e">
        <f t="shared" si="7"/>
        <v>#VALUE!</v>
      </c>
      <c r="U77" s="67" t="e">
        <f t="shared" si="8"/>
        <v>#VALUE!</v>
      </c>
      <c r="V77" s="72" t="e">
        <f t="shared" si="9"/>
        <v>#VALUE!</v>
      </c>
      <c r="W77" s="73" t="e">
        <f t="shared" si="10"/>
        <v>#VALUE!</v>
      </c>
      <c r="X77" s="67"/>
    </row>
    <row r="78" spans="1:24" x14ac:dyDescent="0.25">
      <c r="A78" s="68" t="str">
        <f t="shared" si="2"/>
        <v/>
      </c>
      <c r="B78" s="64" t="str">
        <f t="shared" si="21"/>
        <v/>
      </c>
      <c r="C78" s="64" t="str">
        <f t="shared" si="4"/>
        <v xml:space="preserve"> </v>
      </c>
      <c r="D78" s="68" t="str">
        <f t="shared" si="19"/>
        <v/>
      </c>
      <c r="E78" s="65" t="str">
        <f t="shared" si="20"/>
        <v/>
      </c>
      <c r="F78" s="65" t="str">
        <f>IF(AND(A77="",A79=""),"",IF(A78="",ROUND(SUM($F$25:F77),2),IF(A78=$D$8,$E$24-ROUND(SUM($F$25:F77),2),($G$9-G78))))</f>
        <v/>
      </c>
      <c r="G78" s="65" t="str">
        <f>IF(A77=$D$8,ROUND(SUM($G$25:G77),2),IF(A78&gt;$D$8,"",IF(T78&lt;&gt;T77,ROUND(SUM(V78*$D$9*E77/T78,W78*$D$9*E77/T77),2),ROUND(E77*$D$9*D78/T77,2))))</f>
        <v/>
      </c>
      <c r="H78" s="65" t="str">
        <f>IF(A77=$D$8,SUM($H$25:H77),IF(A77&gt;$D$8,"",F78+G78+O78))</f>
        <v/>
      </c>
      <c r="I78" s="74" t="str">
        <f t="shared" si="22"/>
        <v/>
      </c>
      <c r="J78" s="74" t="str">
        <f t="shared" si="23"/>
        <v/>
      </c>
      <c r="K78" s="74" t="s">
        <v>143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 t="str">
        <f>IF(A77=$D$8,SUM($O$25:O77),IF(A77&gt;$D$8," ",$N$5*$D$6))</f>
        <v xml:space="preserve"> 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0</v>
      </c>
      <c r="S78" s="67" t="e">
        <f t="shared" si="6"/>
        <v>#VALUE!</v>
      </c>
      <c r="T78" s="67" t="e">
        <f t="shared" si="7"/>
        <v>#VALUE!</v>
      </c>
      <c r="U78" s="67" t="e">
        <f t="shared" si="8"/>
        <v>#VALUE!</v>
      </c>
      <c r="V78" s="72" t="e">
        <f t="shared" si="9"/>
        <v>#VALUE!</v>
      </c>
      <c r="W78" s="73" t="e">
        <f t="shared" si="10"/>
        <v>#VALUE!</v>
      </c>
      <c r="X78" s="67"/>
    </row>
    <row r="79" spans="1:24" x14ac:dyDescent="0.25">
      <c r="A79" s="68" t="str">
        <f t="shared" si="2"/>
        <v/>
      </c>
      <c r="B79" s="64" t="str">
        <f t="shared" si="21"/>
        <v/>
      </c>
      <c r="C79" s="64" t="str">
        <f t="shared" si="4"/>
        <v xml:space="preserve"> </v>
      </c>
      <c r="D79" s="68" t="str">
        <f t="shared" si="19"/>
        <v/>
      </c>
      <c r="E79" s="65" t="str">
        <f t="shared" si="20"/>
        <v/>
      </c>
      <c r="F79" s="65" t="str">
        <f>IF(AND(A78="",A80=""),"",IF(A79="",ROUND(SUM($F$25:F78),2),IF(A79=$D$8,$E$24-ROUND(SUM($F$25:F78),2),($G$9-G79))))</f>
        <v/>
      </c>
      <c r="G79" s="65" t="str">
        <f>IF(A78=$D$8,ROUND(SUM($G$25:G78),2),IF(A79&gt;$D$8,"",IF(T79&lt;&gt;T78,ROUND(SUM(V79*$D$9*E78/T79,W79*$D$9*E78/T78),2),ROUND(E78*$D$9*D79/T78,2))))</f>
        <v/>
      </c>
      <c r="H79" s="65" t="str">
        <f>IF(A78=$D$8,SUM($H$25:H78),IF(A78&gt;$D$8,"",F79+G79+O79))</f>
        <v/>
      </c>
      <c r="I79" s="74" t="str">
        <f t="shared" si="22"/>
        <v/>
      </c>
      <c r="J79" s="74" t="str">
        <f t="shared" si="23"/>
        <v/>
      </c>
      <c r="K79" s="74" t="s">
        <v>143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 t="str">
        <f>IF(A78=$D$8,SUM($O$25:O78),IF(A78&gt;$D$8," ",$N$5*$D$6))</f>
        <v xml:space="preserve"> 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0</v>
      </c>
      <c r="S79" s="67" t="e">
        <f t="shared" si="6"/>
        <v>#VALUE!</v>
      </c>
      <c r="T79" s="67" t="e">
        <f t="shared" si="7"/>
        <v>#VALUE!</v>
      </c>
      <c r="U79" s="67" t="e">
        <f t="shared" si="8"/>
        <v>#VALUE!</v>
      </c>
      <c r="V79" s="72" t="e">
        <f t="shared" si="9"/>
        <v>#VALUE!</v>
      </c>
      <c r="W79" s="73" t="e">
        <f t="shared" si="10"/>
        <v>#VALUE!</v>
      </c>
      <c r="X79" s="67"/>
    </row>
    <row r="80" spans="1:24" x14ac:dyDescent="0.25">
      <c r="A80" s="68" t="str">
        <f t="shared" si="2"/>
        <v/>
      </c>
      <c r="B80" s="64" t="str">
        <f t="shared" si="21"/>
        <v/>
      </c>
      <c r="C80" s="64" t="str">
        <f t="shared" si="4"/>
        <v xml:space="preserve"> </v>
      </c>
      <c r="D80" s="68" t="str">
        <f t="shared" si="19"/>
        <v/>
      </c>
      <c r="E80" s="65" t="str">
        <f t="shared" si="20"/>
        <v/>
      </c>
      <c r="F80" s="65" t="str">
        <f>IF(AND(A79="",A81=""),"",IF(A80="",ROUND(SUM($F$25:F79),2),IF(A80=$D$8,$E$24-ROUND(SUM($F$25:F79),2),($G$9-G80))))</f>
        <v/>
      </c>
      <c r="G80" s="65" t="str">
        <f>IF(A79=$D$8,ROUND(SUM($G$25:G79),2),IF(A80&gt;$D$8,"",IF(T80&lt;&gt;T79,ROUND(SUM(V80*$D$9*E79/T80,W80*$D$9*E79/T79),2),ROUND(E79*$D$9*D80/T79,2))))</f>
        <v/>
      </c>
      <c r="H80" s="65" t="str">
        <f>IF(A79=$D$8,SUM($H$25:H79),IF(A79&gt;$D$8,"",F80+G80+O80))</f>
        <v/>
      </c>
      <c r="I80" s="74" t="str">
        <f t="shared" si="22"/>
        <v/>
      </c>
      <c r="J80" s="74" t="str">
        <f t="shared" si="23"/>
        <v/>
      </c>
      <c r="K80" s="74" t="s">
        <v>143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 t="str">
        <f>IF(A79=$D$8,SUM($O$25:O79),IF(A79&gt;$D$8," ",$N$5*$D$6))</f>
        <v xml:space="preserve"> 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0</v>
      </c>
      <c r="S80" s="67" t="e">
        <f t="shared" si="6"/>
        <v>#VALUE!</v>
      </c>
      <c r="T80" s="67" t="e">
        <f t="shared" si="7"/>
        <v>#VALUE!</v>
      </c>
      <c r="U80" s="67" t="e">
        <f t="shared" si="8"/>
        <v>#VALUE!</v>
      </c>
      <c r="V80" s="72" t="e">
        <f t="shared" si="9"/>
        <v>#VALUE!</v>
      </c>
      <c r="W80" s="73" t="e">
        <f t="shared" si="10"/>
        <v>#VALUE!</v>
      </c>
      <c r="X80" s="67"/>
    </row>
    <row r="81" spans="1:24" x14ac:dyDescent="0.25">
      <c r="A81" s="68" t="str">
        <f t="shared" si="2"/>
        <v/>
      </c>
      <c r="B81" s="64" t="str">
        <f t="shared" si="21"/>
        <v/>
      </c>
      <c r="C81" s="64" t="str">
        <f t="shared" si="4"/>
        <v xml:space="preserve"> </v>
      </c>
      <c r="D81" s="68" t="str">
        <f t="shared" si="19"/>
        <v/>
      </c>
      <c r="E81" s="65" t="str">
        <f t="shared" si="20"/>
        <v/>
      </c>
      <c r="F81" s="65" t="str">
        <f>IF(AND(A80="",A82=""),"",IF(A81="",ROUND(SUM($F$25:F80),2),IF(A81=$D$8,$E$24-ROUND(SUM($F$25:F80),2),($G$9-G81))))</f>
        <v/>
      </c>
      <c r="G81" s="65" t="str">
        <f>IF(A80=$D$8,ROUND(SUM($G$25:G80),2),IF(A81&gt;$D$8,"",IF(T81&lt;&gt;T80,ROUND(SUM(V81*$D$9*E80/T81,W81*$D$9*E80/T80),2),ROUND(E80*$D$9*D81/T80,2))))</f>
        <v/>
      </c>
      <c r="H81" s="65" t="str">
        <f>IF(A80=$D$8,SUM($H$25:H80),IF(A80&gt;$D$8,"",F81+G81+O81))</f>
        <v/>
      </c>
      <c r="I81" s="74" t="str">
        <f t="shared" si="22"/>
        <v/>
      </c>
      <c r="J81" s="74" t="str">
        <f t="shared" si="23"/>
        <v/>
      </c>
      <c r="K81" s="74" t="s">
        <v>143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 t="str">
        <f>IF(A80=$D$8,SUM($O$25:O80),IF(A80&gt;$D$8," ",$N$5*$D$6))</f>
        <v xml:space="preserve"> 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0</v>
      </c>
      <c r="S81" s="67" t="e">
        <f t="shared" si="6"/>
        <v>#VALUE!</v>
      </c>
      <c r="T81" s="67" t="e">
        <f t="shared" si="7"/>
        <v>#VALUE!</v>
      </c>
      <c r="U81" s="67" t="e">
        <f t="shared" si="8"/>
        <v>#VALUE!</v>
      </c>
      <c r="V81" s="72" t="e">
        <f t="shared" si="9"/>
        <v>#VALUE!</v>
      </c>
      <c r="W81" s="73" t="e">
        <f t="shared" si="10"/>
        <v>#VALUE!</v>
      </c>
      <c r="X81" s="67"/>
    </row>
    <row r="82" spans="1:24" x14ac:dyDescent="0.25">
      <c r="A82" s="68" t="str">
        <f t="shared" si="2"/>
        <v/>
      </c>
      <c r="B82" s="64" t="str">
        <f t="shared" si="21"/>
        <v/>
      </c>
      <c r="C82" s="64" t="str">
        <f t="shared" si="4"/>
        <v xml:space="preserve"> </v>
      </c>
      <c r="D82" s="68" t="str">
        <f t="shared" si="19"/>
        <v/>
      </c>
      <c r="E82" s="65" t="str">
        <f t="shared" si="20"/>
        <v/>
      </c>
      <c r="F82" s="65" t="str">
        <f>IF(AND(A81="",A83=""),"",IF(A82="",ROUND(SUM($F$25:F81),2),IF(A82=$D$8,$E$24-ROUND(SUM($F$25:F81),2),($G$9-G82))))</f>
        <v/>
      </c>
      <c r="G82" s="65" t="str">
        <f>IF(A81=$D$8,ROUND(SUM($G$25:G81),2),IF(A82&gt;$D$8,"",IF(T82&lt;&gt;T81,ROUND(SUM(V82*$D$9*E81/T82,W82*$D$9*E81/T81),2),ROUND(E81*$D$9*D82/T81,2))))</f>
        <v/>
      </c>
      <c r="H82" s="65" t="str">
        <f>IF(A81=$D$8,SUM($H$25:H81),IF(A81&gt;$D$8,"",F82+G82+O82))</f>
        <v/>
      </c>
      <c r="I82" s="74" t="str">
        <f t="shared" si="22"/>
        <v/>
      </c>
      <c r="J82" s="74" t="str">
        <f t="shared" si="23"/>
        <v/>
      </c>
      <c r="K82" s="74" t="s">
        <v>143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 t="str">
        <f>IF(A81=$D$8,SUM($O$25:O81),IF(A81&gt;$D$8," ",$N$5*$D$6))</f>
        <v xml:space="preserve"> 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0</v>
      </c>
      <c r="S82" s="67" t="e">
        <f t="shared" si="6"/>
        <v>#VALUE!</v>
      </c>
      <c r="T82" s="67" t="e">
        <f t="shared" si="7"/>
        <v>#VALUE!</v>
      </c>
      <c r="U82" s="67" t="e">
        <f t="shared" si="8"/>
        <v>#VALUE!</v>
      </c>
      <c r="V82" s="72" t="e">
        <f t="shared" si="9"/>
        <v>#VALUE!</v>
      </c>
      <c r="W82" s="73" t="e">
        <f t="shared" si="10"/>
        <v>#VALUE!</v>
      </c>
      <c r="X82" s="67"/>
    </row>
    <row r="83" spans="1:24" x14ac:dyDescent="0.25">
      <c r="A83" s="68" t="str">
        <f t="shared" si="2"/>
        <v/>
      </c>
      <c r="B83" s="64" t="str">
        <f t="shared" si="21"/>
        <v/>
      </c>
      <c r="C83" s="64" t="str">
        <f t="shared" si="4"/>
        <v xml:space="preserve"> </v>
      </c>
      <c r="D83" s="68" t="str">
        <f t="shared" si="19"/>
        <v/>
      </c>
      <c r="E83" s="65" t="str">
        <f t="shared" si="20"/>
        <v/>
      </c>
      <c r="F83" s="65" t="str">
        <f>IF(AND(A82="",A84=""),"",IF(A83="",ROUND(SUM($F$25:F82),2),IF(A83=$D$8,$E$24-ROUND(SUM($F$25:F82),2),($G$9-G83))))</f>
        <v/>
      </c>
      <c r="G83" s="65" t="str">
        <f>IF(A82=$D$8,ROUND(SUM($G$25:G82),2),IF(A83&gt;$D$8,"",IF(T83&lt;&gt;T82,ROUND(SUM(V83*$D$9*E82/T83,W83*$D$9*E82/T82),2),ROUND(E82*$D$9*D83/T82,2))))</f>
        <v/>
      </c>
      <c r="H83" s="65" t="str">
        <f>IF(A82=$D$8,SUM($H$25:H82),IF(A82&gt;$D$8,"",F83+G83+O83))</f>
        <v/>
      </c>
      <c r="I83" s="74" t="str">
        <f t="shared" si="22"/>
        <v/>
      </c>
      <c r="J83" s="74" t="str">
        <f t="shared" si="23"/>
        <v/>
      </c>
      <c r="K83" s="74" t="s">
        <v>143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 t="str">
        <f>IF(A82=$D$8,SUM($O$25:O82),IF(A82&gt;$D$8," ",$N$5*$D$6))</f>
        <v xml:space="preserve"> 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0</v>
      </c>
      <c r="S83" s="67" t="e">
        <f t="shared" si="6"/>
        <v>#VALUE!</v>
      </c>
      <c r="T83" s="67" t="e">
        <f t="shared" si="7"/>
        <v>#VALUE!</v>
      </c>
      <c r="U83" s="67" t="e">
        <f t="shared" si="8"/>
        <v>#VALUE!</v>
      </c>
      <c r="V83" s="72" t="e">
        <f t="shared" si="9"/>
        <v>#VALUE!</v>
      </c>
      <c r="W83" s="73" t="e">
        <f t="shared" si="10"/>
        <v>#VALUE!</v>
      </c>
      <c r="X83" s="67"/>
    </row>
    <row r="84" spans="1:24" x14ac:dyDescent="0.25">
      <c r="A84" s="68" t="str">
        <f t="shared" si="2"/>
        <v/>
      </c>
      <c r="B84" s="64" t="str">
        <f t="shared" si="21"/>
        <v/>
      </c>
      <c r="C84" s="64" t="str">
        <f t="shared" si="4"/>
        <v xml:space="preserve"> </v>
      </c>
      <c r="D84" s="68" t="str">
        <f t="shared" si="19"/>
        <v/>
      </c>
      <c r="E84" s="65" t="str">
        <f t="shared" si="20"/>
        <v/>
      </c>
      <c r="F84" s="65" t="str">
        <f>IF(AND(A83="",A85=""),"",IF(A84="",ROUND(SUM($F$25:F83),2),IF(A84=$D$8,$E$24-ROUND(SUM($F$25:F83),2),($G$9-G84))))</f>
        <v/>
      </c>
      <c r="G84" s="65" t="str">
        <f>IF(A83=$D$8,ROUND(SUM($G$25:G83),2),IF(A84&gt;$D$8,"",IF(T84&lt;&gt;T83,ROUND(SUM(V84*$D$9*E83/T84,W84*$D$9*E83/T83),2),ROUND(E83*$D$9*D84/T83,2))))</f>
        <v/>
      </c>
      <c r="H84" s="65" t="str">
        <f>IF(A83=$D$8,SUM($H$25:H83),IF(A83&gt;$D$8,"",F84+G84+O84))</f>
        <v/>
      </c>
      <c r="I84" s="74" t="str">
        <f t="shared" si="22"/>
        <v/>
      </c>
      <c r="J84" s="74" t="str">
        <f t="shared" si="23"/>
        <v/>
      </c>
      <c r="K84" s="74" t="s">
        <v>143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 t="str">
        <f>IF(A83=$D$8,SUM($O$25:O83),IF(A83&gt;$D$8," ",$N$5*$D$6))</f>
        <v xml:space="preserve"> 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0</v>
      </c>
      <c r="S84" s="67" t="e">
        <f t="shared" si="6"/>
        <v>#VALUE!</v>
      </c>
      <c r="T84" s="67" t="e">
        <f t="shared" si="7"/>
        <v>#VALUE!</v>
      </c>
      <c r="U84" s="67" t="e">
        <f t="shared" si="8"/>
        <v>#VALUE!</v>
      </c>
      <c r="V84" s="72" t="e">
        <f t="shared" si="9"/>
        <v>#VALUE!</v>
      </c>
      <c r="W84" s="73" t="e">
        <f t="shared" si="10"/>
        <v>#VALUE!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 t="str">
        <f>IF(AND(A84="",A86=""),"",IF(A85="",ROUND(SUM($F$25:F84),2),IF(A85=$D$8,$E$24-ROUND(SUM($F$25:F84),2),($G$9-G85))))</f>
        <v/>
      </c>
      <c r="G85" s="65" t="str">
        <f>IF(A84=$D$8,ROUND(SUM($G$25:G84),2),IF(A85&gt;$D$8,"",IF(T85&lt;&gt;T84,ROUND(SUM(V85*$D$9*E84/T85,W85*$D$9*E84/T84),2),ROUND(E84*$D$9*D85/T84,2))))</f>
        <v/>
      </c>
      <c r="H85" s="65" t="str">
        <f>IF(A84=$D$8,SUM($H$25:H84),IF(A84&gt;$D$8,"",F85+G85+O85))</f>
        <v/>
      </c>
      <c r="I85" s="75" t="str">
        <f t="shared" si="22"/>
        <v/>
      </c>
      <c r="J85" s="74" t="str">
        <f>IF($D$8&gt;A84,$N$9,IF(A84=60,SUM($J$24:J84)," "))</f>
        <v xml:space="preserve"> </v>
      </c>
      <c r="K85" s="74" t="str">
        <f>IF($D$8&gt;60,($O$8+$N$10*E84),IF($A$84=$D$8,$K$37+$K$24+$K$49+$K$61+$K$73,""))</f>
        <v/>
      </c>
      <c r="L85" s="75" t="str">
        <f t="shared" si="24"/>
        <v/>
      </c>
      <c r="M85" s="65" t="str">
        <f t="shared" si="17"/>
        <v/>
      </c>
      <c r="N85" s="65" t="str">
        <f t="shared" si="14"/>
        <v/>
      </c>
      <c r="O85" s="65" t="str">
        <f>IF(A84=$D$8,SUM($O$25:O84),IF(A84&gt;$D$8," ",$N$5*$D$6))</f>
        <v xml:space="preserve"> </v>
      </c>
      <c r="P85" s="70" t="str">
        <f>IF(A84=$D$8,XIRR(H$24:H84,C$24:C84),"")</f>
        <v/>
      </c>
      <c r="Q85" s="74" t="str">
        <f t="shared" si="13"/>
        <v/>
      </c>
      <c r="R85" s="65">
        <f t="shared" si="5"/>
        <v>0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sheetProtection password="C675" sheet="1" objects="1" scenarios="1"/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A2" workbookViewId="0">
      <selection activeCell="G3" sqref="G3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99" customFormat="1" ht="27" hidden="1" customHeight="1" x14ac:dyDescent="0.25">
      <c r="D1" s="114" t="s">
        <v>145</v>
      </c>
    </row>
    <row r="2" spans="1:18" ht="15.75" x14ac:dyDescent="0.25">
      <c r="D2" s="110"/>
    </row>
    <row r="3" spans="1:18" x14ac:dyDescent="0.25">
      <c r="D3" s="119"/>
      <c r="E3" s="119"/>
      <c r="F3" s="119"/>
      <c r="G3" s="119"/>
      <c r="H3" s="119"/>
      <c r="I3" s="119"/>
    </row>
    <row r="4" spans="1:18" x14ac:dyDescent="0.25">
      <c r="A4" s="190" t="s">
        <v>105</v>
      </c>
      <c r="B4" s="190"/>
      <c r="C4" s="115">
        <v>44197</v>
      </c>
      <c r="D4" s="119"/>
      <c r="E4" s="191"/>
      <c r="F4" s="191"/>
      <c r="G4" s="120"/>
      <c r="H4" s="119"/>
      <c r="I4" s="119"/>
    </row>
    <row r="5" spans="1:18" ht="27.75" customHeight="1" x14ac:dyDescent="0.25">
      <c r="A5" s="192" t="s">
        <v>40</v>
      </c>
      <c r="B5" s="193"/>
      <c r="C5" s="116">
        <v>25001</v>
      </c>
      <c r="D5" s="121" t="str">
        <f>IF(C5&lt;25001,"Мін. сума кредиту - 25 тис грн",IF(C5&gt;100000,"Макс. сума кредиту 100 тис  грн"," "))</f>
        <v xml:space="preserve"> </v>
      </c>
      <c r="E5" s="191"/>
      <c r="F5" s="191"/>
      <c r="G5" s="120"/>
      <c r="H5" s="119"/>
      <c r="I5" s="119"/>
    </row>
    <row r="6" spans="1:18" x14ac:dyDescent="0.25">
      <c r="A6" s="190" t="s">
        <v>39</v>
      </c>
      <c r="B6" s="190"/>
      <c r="C6" s="117">
        <v>36</v>
      </c>
      <c r="D6" s="121" t="str">
        <f>IF(C6&gt;36,"Макс. строк- 36 міс.",IF(C6&lt;12,"Мін. строк 12 міс."," "))</f>
        <v xml:space="preserve"> </v>
      </c>
      <c r="E6" s="191"/>
      <c r="F6" s="191"/>
      <c r="G6" s="122"/>
      <c r="H6" s="119"/>
      <c r="I6" s="119"/>
    </row>
    <row r="7" spans="1:18" x14ac:dyDescent="0.25">
      <c r="A7" s="190" t="s">
        <v>38</v>
      </c>
      <c r="B7" s="190"/>
      <c r="C7" s="118">
        <v>0.49</v>
      </c>
      <c r="D7" s="119"/>
      <c r="E7" s="191"/>
      <c r="F7" s="191"/>
      <c r="G7" s="122"/>
      <c r="H7" s="119"/>
      <c r="I7" s="119"/>
    </row>
    <row r="8" spans="1:18" hidden="1" x14ac:dyDescent="0.25">
      <c r="A8" s="190" t="s">
        <v>121</v>
      </c>
      <c r="B8" s="190"/>
      <c r="C8" s="118">
        <v>0</v>
      </c>
      <c r="D8" s="119"/>
      <c r="E8" s="191"/>
      <c r="F8" s="191"/>
      <c r="G8" s="120"/>
      <c r="H8" s="119"/>
      <c r="I8" s="119"/>
    </row>
    <row r="9" spans="1:18" x14ac:dyDescent="0.25">
      <c r="A9" s="190" t="s">
        <v>149</v>
      </c>
      <c r="B9" s="190" t="s">
        <v>149</v>
      </c>
      <c r="C9" s="123">
        <v>0.06</v>
      </c>
      <c r="D9" s="119"/>
      <c r="E9" s="119"/>
      <c r="F9" s="119"/>
      <c r="G9" s="119"/>
      <c r="H9" s="119"/>
      <c r="I9" s="119"/>
    </row>
    <row r="11" spans="1:18" x14ac:dyDescent="0.25">
      <c r="A11" s="194" t="s">
        <v>122</v>
      </c>
      <c r="B11" s="194" t="s">
        <v>123</v>
      </c>
      <c r="C11" s="194" t="s">
        <v>124</v>
      </c>
      <c r="D11" s="194" t="s">
        <v>125</v>
      </c>
      <c r="E11" s="194" t="s">
        <v>126</v>
      </c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 t="s">
        <v>61</v>
      </c>
      <c r="R11" s="194" t="s">
        <v>54</v>
      </c>
    </row>
    <row r="12" spans="1:18" ht="15.75" customHeight="1" x14ac:dyDescent="0.25">
      <c r="A12" s="194"/>
      <c r="B12" s="194"/>
      <c r="C12" s="194"/>
      <c r="D12" s="194"/>
      <c r="E12" s="194" t="s">
        <v>127</v>
      </c>
      <c r="F12" s="194" t="s">
        <v>128</v>
      </c>
      <c r="G12" s="194" t="s">
        <v>129</v>
      </c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</row>
    <row r="13" spans="1:18" ht="23.25" customHeight="1" x14ac:dyDescent="0.25">
      <c r="A13" s="194"/>
      <c r="B13" s="194"/>
      <c r="C13" s="194"/>
      <c r="D13" s="194"/>
      <c r="E13" s="194"/>
      <c r="F13" s="194"/>
      <c r="G13" s="194" t="s">
        <v>130</v>
      </c>
      <c r="H13" s="194"/>
      <c r="I13" s="194"/>
      <c r="J13" s="194"/>
      <c r="K13" s="194" t="s">
        <v>140</v>
      </c>
      <c r="L13" s="194"/>
      <c r="M13" s="194" t="s">
        <v>131</v>
      </c>
      <c r="N13" s="194"/>
      <c r="O13" s="194"/>
      <c r="P13" s="194"/>
      <c r="Q13" s="194"/>
      <c r="R13" s="194"/>
    </row>
    <row r="14" spans="1:18" ht="60" x14ac:dyDescent="0.25">
      <c r="A14" s="194"/>
      <c r="B14" s="194"/>
      <c r="C14" s="194"/>
      <c r="D14" s="194"/>
      <c r="E14" s="194"/>
      <c r="F14" s="194"/>
      <c r="G14" s="100" t="s">
        <v>132</v>
      </c>
      <c r="H14" s="100" t="s">
        <v>133</v>
      </c>
      <c r="I14" s="100" t="s">
        <v>134</v>
      </c>
      <c r="J14" s="100" t="s">
        <v>142</v>
      </c>
      <c r="K14" s="100" t="s">
        <v>135</v>
      </c>
      <c r="L14" s="100" t="s">
        <v>139</v>
      </c>
      <c r="M14" s="100" t="s">
        <v>136</v>
      </c>
      <c r="N14" s="100" t="s">
        <v>137</v>
      </c>
      <c r="O14" s="100" t="s">
        <v>138</v>
      </c>
      <c r="P14" s="100" t="s">
        <v>141</v>
      </c>
      <c r="Q14" s="194"/>
      <c r="R14" s="194"/>
    </row>
    <row r="15" spans="1:18" x14ac:dyDescent="0.25">
      <c r="A15" s="100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100">
        <v>8</v>
      </c>
      <c r="I15" s="100">
        <v>9</v>
      </c>
      <c r="J15" s="100">
        <v>10</v>
      </c>
      <c r="K15" s="100">
        <v>11</v>
      </c>
      <c r="L15" s="100">
        <v>12</v>
      </c>
      <c r="M15" s="100">
        <v>13</v>
      </c>
      <c r="N15" s="100">
        <v>14</v>
      </c>
      <c r="O15" s="100">
        <v>15</v>
      </c>
      <c r="P15" s="100">
        <v>16</v>
      </c>
      <c r="Q15" s="100">
        <v>17</v>
      </c>
      <c r="R15" s="100">
        <v>18</v>
      </c>
    </row>
    <row r="16" spans="1:18" s="99" customFormat="1" x14ac:dyDescent="0.25">
      <c r="A16" s="112">
        <f>' '!A24</f>
        <v>0</v>
      </c>
      <c r="B16" s="101"/>
      <c r="C16" s="101"/>
      <c r="D16" s="104">
        <f>' '!H24</f>
        <v>-23500.94</v>
      </c>
      <c r="E16" s="101"/>
      <c r="F16" s="101"/>
      <c r="G16" s="101"/>
      <c r="H16" s="101"/>
      <c r="I16" s="104">
        <f>' '!M24</f>
        <v>1500.06</v>
      </c>
      <c r="J16" s="101"/>
      <c r="K16" s="101"/>
      <c r="L16" s="101"/>
      <c r="M16" s="104">
        <f>' '!I24</f>
        <v>0</v>
      </c>
      <c r="N16" s="104">
        <f>' '!J24</f>
        <v>0</v>
      </c>
      <c r="O16" s="104">
        <f>' '!K24</f>
        <v>0</v>
      </c>
      <c r="P16" s="101"/>
      <c r="Q16" s="109" t="str">
        <f>' '!P24</f>
        <v xml:space="preserve"> </v>
      </c>
      <c r="R16" s="104" t="str">
        <f>' '!Q24</f>
        <v xml:space="preserve"> </v>
      </c>
    </row>
    <row r="17" spans="1:18" x14ac:dyDescent="0.25">
      <c r="A17" s="111">
        <f>' '!A25</f>
        <v>1</v>
      </c>
      <c r="B17" s="113">
        <f>' '!B25</f>
        <v>44228</v>
      </c>
      <c r="C17" s="111">
        <f>' '!D25</f>
        <v>31</v>
      </c>
      <c r="D17" s="103">
        <f>' '!H25</f>
        <v>1337.5234230596025</v>
      </c>
      <c r="E17" s="103">
        <f>' '!F25</f>
        <v>297.07342305960242</v>
      </c>
      <c r="F17" s="104">
        <f>' '!G25</f>
        <v>1040.45</v>
      </c>
      <c r="G17" s="103">
        <f>' '!O25</f>
        <v>0</v>
      </c>
      <c r="H17" s="102"/>
      <c r="I17" s="108" t="str">
        <f>' '!M25</f>
        <v xml:space="preserve"> </v>
      </c>
      <c r="J17" s="102"/>
      <c r="K17" s="102"/>
      <c r="L17" s="102"/>
      <c r="M17" s="107" t="str">
        <f>' '!I25</f>
        <v xml:space="preserve"> </v>
      </c>
      <c r="N17" s="107" t="str">
        <f>' '!J25</f>
        <v xml:space="preserve"> </v>
      </c>
      <c r="O17" s="104" t="str">
        <f>' '!K25</f>
        <v xml:space="preserve"> </v>
      </c>
      <c r="P17" s="102"/>
      <c r="Q17" s="109" t="str">
        <f>' '!P25</f>
        <v/>
      </c>
      <c r="R17" s="104" t="str">
        <f>' '!Q25</f>
        <v xml:space="preserve"> </v>
      </c>
    </row>
    <row r="18" spans="1:18" x14ac:dyDescent="0.25">
      <c r="A18" s="111">
        <f>' '!A26</f>
        <v>2</v>
      </c>
      <c r="B18" s="113">
        <f>' '!B26</f>
        <v>44256</v>
      </c>
      <c r="C18" s="111">
        <f>' '!D26</f>
        <v>28</v>
      </c>
      <c r="D18" s="103">
        <f>' '!H26</f>
        <v>1337.5234230596025</v>
      </c>
      <c r="E18" s="103">
        <f>' '!F26</f>
        <v>408.92342305960244</v>
      </c>
      <c r="F18" s="104">
        <f>' '!G26</f>
        <v>928.6</v>
      </c>
      <c r="G18" s="103">
        <f>' '!O26</f>
        <v>0</v>
      </c>
      <c r="H18" s="102"/>
      <c r="I18" s="108" t="str">
        <f>' '!M26</f>
        <v xml:space="preserve"> </v>
      </c>
      <c r="J18" s="102"/>
      <c r="K18" s="102"/>
      <c r="L18" s="102"/>
      <c r="M18" s="107" t="str">
        <f>' '!I26</f>
        <v xml:space="preserve"> </v>
      </c>
      <c r="N18" s="107">
        <f>' '!J26</f>
        <v>0</v>
      </c>
      <c r="O18" s="104" t="str">
        <f>' '!K26</f>
        <v xml:space="preserve"> </v>
      </c>
      <c r="P18" s="102"/>
      <c r="Q18" s="109" t="str">
        <f>' '!P26</f>
        <v/>
      </c>
      <c r="R18" s="104" t="str">
        <f>' '!Q26</f>
        <v xml:space="preserve"> </v>
      </c>
    </row>
    <row r="19" spans="1:18" x14ac:dyDescent="0.25">
      <c r="A19" s="111">
        <f>' '!A27</f>
        <v>3</v>
      </c>
      <c r="B19" s="113">
        <f>' '!B27</f>
        <v>44287</v>
      </c>
      <c r="C19" s="111">
        <f>' '!D27</f>
        <v>31</v>
      </c>
      <c r="D19" s="103">
        <f>' '!H27</f>
        <v>1337.5234230596025</v>
      </c>
      <c r="E19" s="103">
        <f>' '!F27</f>
        <v>326.45342305960241</v>
      </c>
      <c r="F19" s="104">
        <f>' '!G27</f>
        <v>1011.07</v>
      </c>
      <c r="G19" s="103">
        <f>' '!O27</f>
        <v>0</v>
      </c>
      <c r="H19" s="102"/>
      <c r="I19" s="108" t="str">
        <f>' '!M27</f>
        <v xml:space="preserve"> </v>
      </c>
      <c r="J19" s="102"/>
      <c r="K19" s="102"/>
      <c r="L19" s="102"/>
      <c r="M19" s="107" t="str">
        <f>' '!I27</f>
        <v xml:space="preserve"> </v>
      </c>
      <c r="N19" s="107">
        <f>' '!J27</f>
        <v>0</v>
      </c>
      <c r="O19" s="104" t="str">
        <f>' '!K27</f>
        <v xml:space="preserve"> </v>
      </c>
      <c r="P19" s="102"/>
      <c r="Q19" s="109" t="str">
        <f>' '!P27</f>
        <v/>
      </c>
      <c r="R19" s="104" t="str">
        <f>' '!Q27</f>
        <v/>
      </c>
    </row>
    <row r="20" spans="1:18" x14ac:dyDescent="0.25">
      <c r="A20" s="111">
        <f>' '!A28</f>
        <v>4</v>
      </c>
      <c r="B20" s="113">
        <f>' '!B28</f>
        <v>44317</v>
      </c>
      <c r="C20" s="111">
        <f>' '!D28</f>
        <v>30</v>
      </c>
      <c r="D20" s="103">
        <f>' '!H28</f>
        <v>1337.5234230596025</v>
      </c>
      <c r="E20" s="103">
        <f>' '!F28</f>
        <v>372.21342305960252</v>
      </c>
      <c r="F20" s="104">
        <f>' '!G28</f>
        <v>965.31</v>
      </c>
      <c r="G20" s="103">
        <f>' '!O28</f>
        <v>0</v>
      </c>
      <c r="H20" s="102"/>
      <c r="I20" s="108" t="str">
        <f>' '!M28</f>
        <v xml:space="preserve"> </v>
      </c>
      <c r="J20" s="102"/>
      <c r="K20" s="102"/>
      <c r="L20" s="102"/>
      <c r="M20" s="107" t="str">
        <f>' '!I28</f>
        <v xml:space="preserve"> </v>
      </c>
      <c r="N20" s="107">
        <f>' '!J28</f>
        <v>0</v>
      </c>
      <c r="O20" s="104" t="str">
        <f>' '!K28</f>
        <v xml:space="preserve"> </v>
      </c>
      <c r="P20" s="102"/>
      <c r="Q20" s="109" t="str">
        <f>' '!P28</f>
        <v/>
      </c>
      <c r="R20" s="104" t="str">
        <f>' '!Q28</f>
        <v/>
      </c>
    </row>
    <row r="21" spans="1:18" x14ac:dyDescent="0.25">
      <c r="A21" s="111">
        <f>' '!A29</f>
        <v>5</v>
      </c>
      <c r="B21" s="113">
        <f>' '!B29</f>
        <v>44348</v>
      </c>
      <c r="C21" s="111">
        <f>' '!D29</f>
        <v>31</v>
      </c>
      <c r="D21" s="103">
        <f>' '!H29</f>
        <v>1337.5234230596025</v>
      </c>
      <c r="E21" s="103">
        <f>' '!F29</f>
        <v>355.52342305960246</v>
      </c>
      <c r="F21" s="104">
        <f>' '!G29</f>
        <v>982</v>
      </c>
      <c r="G21" s="103">
        <f>' '!O29</f>
        <v>0</v>
      </c>
      <c r="H21" s="102"/>
      <c r="I21" s="108" t="str">
        <f>' '!M29</f>
        <v xml:space="preserve"> </v>
      </c>
      <c r="J21" s="102"/>
      <c r="K21" s="102"/>
      <c r="L21" s="102"/>
      <c r="M21" s="104" t="str">
        <f>' '!I29</f>
        <v/>
      </c>
      <c r="N21" s="104" t="str">
        <f>' '!J29</f>
        <v/>
      </c>
      <c r="O21" s="104" t="str">
        <f>' '!K29</f>
        <v xml:space="preserve"> </v>
      </c>
      <c r="P21" s="102"/>
      <c r="Q21" s="109" t="str">
        <f>' '!P29</f>
        <v/>
      </c>
      <c r="R21" s="104" t="str">
        <f>' '!Q29</f>
        <v/>
      </c>
    </row>
    <row r="22" spans="1:18" x14ac:dyDescent="0.25">
      <c r="A22" s="111">
        <f>' '!A30</f>
        <v>6</v>
      </c>
      <c r="B22" s="113">
        <f>' '!B30</f>
        <v>44378</v>
      </c>
      <c r="C22" s="111">
        <f>' '!D30</f>
        <v>30</v>
      </c>
      <c r="D22" s="103">
        <f>' '!H30</f>
        <v>1337.5234230596025</v>
      </c>
      <c r="E22" s="103">
        <f>' '!F30</f>
        <v>401.52342305960246</v>
      </c>
      <c r="F22" s="104">
        <f>' '!G30</f>
        <v>936</v>
      </c>
      <c r="G22" s="103">
        <f>' '!O30</f>
        <v>0</v>
      </c>
      <c r="H22" s="102"/>
      <c r="I22" s="108" t="str">
        <f>' '!M30</f>
        <v/>
      </c>
      <c r="J22" s="102"/>
      <c r="K22" s="102"/>
      <c r="L22" s="102"/>
      <c r="M22" s="104" t="str">
        <f>' '!I30</f>
        <v/>
      </c>
      <c r="N22" s="104" t="str">
        <f>' '!J30</f>
        <v/>
      </c>
      <c r="O22" s="104" t="str">
        <f>' '!K30</f>
        <v xml:space="preserve"> </v>
      </c>
      <c r="P22" s="102"/>
      <c r="Q22" s="109" t="str">
        <f>' '!P30</f>
        <v/>
      </c>
      <c r="R22" s="104" t="str">
        <f>' '!Q30</f>
        <v/>
      </c>
    </row>
    <row r="23" spans="1:18" x14ac:dyDescent="0.25">
      <c r="A23" s="111">
        <f>' '!A31</f>
        <v>7</v>
      </c>
      <c r="B23" s="113">
        <f>' '!B31</f>
        <v>44409</v>
      </c>
      <c r="C23" s="111">
        <f>' '!D31</f>
        <v>31</v>
      </c>
      <c r="D23" s="103">
        <f>' '!H31</f>
        <v>1337.5234230596025</v>
      </c>
      <c r="E23" s="103">
        <f>' '!F31</f>
        <v>387.03342305960246</v>
      </c>
      <c r="F23" s="104">
        <f>' '!G31</f>
        <v>950.49</v>
      </c>
      <c r="G23" s="103">
        <f>' '!O31</f>
        <v>0</v>
      </c>
      <c r="H23" s="102"/>
      <c r="I23" s="104" t="str">
        <f>' '!M31</f>
        <v/>
      </c>
      <c r="J23" s="102"/>
      <c r="K23" s="102"/>
      <c r="L23" s="102"/>
      <c r="M23" s="104" t="str">
        <f>' '!I31</f>
        <v/>
      </c>
      <c r="N23" s="104" t="str">
        <f>' '!J31</f>
        <v/>
      </c>
      <c r="O23" s="104" t="str">
        <f>' '!K31</f>
        <v xml:space="preserve"> </v>
      </c>
      <c r="P23" s="102"/>
      <c r="Q23" s="109" t="str">
        <f>' '!P31</f>
        <v/>
      </c>
      <c r="R23" s="104" t="str">
        <f>' '!Q31</f>
        <v/>
      </c>
    </row>
    <row r="24" spans="1:18" x14ac:dyDescent="0.25">
      <c r="A24" s="111">
        <f>' '!A32</f>
        <v>8</v>
      </c>
      <c r="B24" s="113">
        <f>' '!B32</f>
        <v>44440</v>
      </c>
      <c r="C24" s="111">
        <f>' '!D32</f>
        <v>31</v>
      </c>
      <c r="D24" s="103">
        <f>' '!H32</f>
        <v>1337.5234230596025</v>
      </c>
      <c r="E24" s="103">
        <f>' '!F32</f>
        <v>403.14342305960247</v>
      </c>
      <c r="F24" s="104">
        <f>' '!G32</f>
        <v>934.38</v>
      </c>
      <c r="G24" s="103">
        <f>' '!O32</f>
        <v>0</v>
      </c>
      <c r="H24" s="17"/>
      <c r="I24" s="104" t="str">
        <f>' '!M32</f>
        <v/>
      </c>
      <c r="J24" s="17"/>
      <c r="K24" s="17"/>
      <c r="L24" s="17"/>
      <c r="M24" s="104" t="str">
        <f>' '!I32</f>
        <v/>
      </c>
      <c r="N24" s="104" t="str">
        <f>' '!J32</f>
        <v/>
      </c>
      <c r="O24" s="104" t="str">
        <f>' '!K32</f>
        <v xml:space="preserve"> </v>
      </c>
      <c r="P24" s="17"/>
      <c r="Q24" s="109" t="str">
        <f>' '!P32</f>
        <v/>
      </c>
      <c r="R24" s="104" t="str">
        <f>' '!Q32</f>
        <v/>
      </c>
    </row>
    <row r="25" spans="1:18" x14ac:dyDescent="0.25">
      <c r="A25" s="111">
        <f>' '!A33</f>
        <v>9</v>
      </c>
      <c r="B25" s="113">
        <f>' '!B33</f>
        <v>44470</v>
      </c>
      <c r="C25" s="111">
        <f>' '!D33</f>
        <v>30</v>
      </c>
      <c r="D25" s="103">
        <f>' '!H33</f>
        <v>1337.5234230596025</v>
      </c>
      <c r="E25" s="103">
        <f>' '!F33</f>
        <v>449.51342305960247</v>
      </c>
      <c r="F25" s="104">
        <f>' '!G33</f>
        <v>888.01</v>
      </c>
      <c r="G25" s="103">
        <f>' '!O33</f>
        <v>0</v>
      </c>
      <c r="I25" s="104" t="str">
        <f>' '!M33</f>
        <v/>
      </c>
      <c r="M25" s="104" t="str">
        <f>' '!I33</f>
        <v/>
      </c>
      <c r="N25" s="104" t="str">
        <f>' '!J33</f>
        <v/>
      </c>
      <c r="O25" s="104" t="str">
        <f>' '!K33</f>
        <v xml:space="preserve"> </v>
      </c>
      <c r="Q25" s="109" t="str">
        <f>' '!P33</f>
        <v/>
      </c>
      <c r="R25" s="104" t="str">
        <f>' '!Q33</f>
        <v/>
      </c>
    </row>
    <row r="26" spans="1:18" x14ac:dyDescent="0.25">
      <c r="A26" s="111">
        <f>' '!A34</f>
        <v>10</v>
      </c>
      <c r="B26" s="113">
        <f>' '!B34</f>
        <v>44501</v>
      </c>
      <c r="C26" s="111">
        <f>' '!D34</f>
        <v>31</v>
      </c>
      <c r="D26" s="103">
        <f>' '!H34</f>
        <v>1337.5234230596025</v>
      </c>
      <c r="E26" s="103">
        <f>' '!F34</f>
        <v>438.62342305960249</v>
      </c>
      <c r="F26" s="104">
        <f>' '!G34</f>
        <v>898.9</v>
      </c>
      <c r="G26" s="103">
        <f>' '!O34</f>
        <v>0</v>
      </c>
      <c r="I26" s="104" t="str">
        <f>' '!M34</f>
        <v/>
      </c>
      <c r="M26" s="104" t="str">
        <f>' '!I34</f>
        <v/>
      </c>
      <c r="N26" s="104" t="str">
        <f>' '!J34</f>
        <v/>
      </c>
      <c r="O26" s="104" t="str">
        <f>' '!K34</f>
        <v xml:space="preserve"> </v>
      </c>
      <c r="Q26" s="109" t="str">
        <f>' '!P34</f>
        <v/>
      </c>
      <c r="R26" s="104" t="str">
        <f>' '!Q34</f>
        <v/>
      </c>
    </row>
    <row r="27" spans="1:18" x14ac:dyDescent="0.25">
      <c r="A27" s="111">
        <f>' '!A35</f>
        <v>11</v>
      </c>
      <c r="B27" s="113">
        <f>' '!B35</f>
        <v>44531</v>
      </c>
      <c r="C27" s="111">
        <f>' '!D35</f>
        <v>30</v>
      </c>
      <c r="D27" s="103">
        <f>' '!H35</f>
        <v>1337.5234230596025</v>
      </c>
      <c r="E27" s="103">
        <f>' '!F35</f>
        <v>485.28342305960246</v>
      </c>
      <c r="F27" s="104">
        <f>' '!G35</f>
        <v>852.24</v>
      </c>
      <c r="G27" s="103">
        <f>' '!O35</f>
        <v>0</v>
      </c>
      <c r="I27" s="104" t="str">
        <f>' '!M35</f>
        <v/>
      </c>
      <c r="M27" s="104" t="str">
        <f>' '!I35</f>
        <v/>
      </c>
      <c r="N27" s="104" t="str">
        <f>' '!J35</f>
        <v/>
      </c>
      <c r="O27" s="104" t="str">
        <f>' '!K35</f>
        <v xml:space="preserve"> </v>
      </c>
      <c r="Q27" s="109" t="str">
        <f>' '!P35</f>
        <v/>
      </c>
      <c r="R27" s="104" t="str">
        <f>' '!Q35</f>
        <v/>
      </c>
    </row>
    <row r="28" spans="1:18" x14ac:dyDescent="0.25">
      <c r="A28" s="111">
        <f>' '!A36</f>
        <v>12</v>
      </c>
      <c r="B28" s="113">
        <f>' '!B36</f>
        <v>44562</v>
      </c>
      <c r="C28" s="111">
        <f>' '!D36</f>
        <v>31</v>
      </c>
      <c r="D28" s="103">
        <f>' '!H36</f>
        <v>1337.5234230596025</v>
      </c>
      <c r="E28" s="103">
        <f>' '!F36</f>
        <v>477.07342305960242</v>
      </c>
      <c r="F28" s="104">
        <f>' '!G36</f>
        <v>860.45</v>
      </c>
      <c r="G28" s="103">
        <f>' '!O36</f>
        <v>0</v>
      </c>
      <c r="I28" s="104" t="str">
        <f>' '!M36</f>
        <v/>
      </c>
      <c r="M28" s="104" t="str">
        <f>' '!I36</f>
        <v/>
      </c>
      <c r="N28" s="104" t="str">
        <f>' '!J36</f>
        <v/>
      </c>
      <c r="O28" s="104" t="str">
        <f>' '!K36</f>
        <v xml:space="preserve"> </v>
      </c>
      <c r="Q28" s="109" t="str">
        <f>' '!P36</f>
        <v/>
      </c>
      <c r="R28" s="104" t="str">
        <f>' '!Q36</f>
        <v/>
      </c>
    </row>
    <row r="29" spans="1:18" x14ac:dyDescent="0.25">
      <c r="A29" s="111">
        <f>' '!A37</f>
        <v>13</v>
      </c>
      <c r="B29" s="113">
        <f>' '!B37</f>
        <v>44593</v>
      </c>
      <c r="C29" s="111">
        <f>' '!D37</f>
        <v>31</v>
      </c>
      <c r="D29" s="103">
        <f>' '!H37</f>
        <v>1337.5234230596025</v>
      </c>
      <c r="E29" s="103">
        <f>' '!F37</f>
        <v>496.93342305960243</v>
      </c>
      <c r="F29" s="104">
        <f>' '!G37</f>
        <v>840.59</v>
      </c>
      <c r="G29" s="103">
        <f>' '!O37</f>
        <v>0</v>
      </c>
      <c r="I29" s="104" t="str">
        <f>' '!M37</f>
        <v/>
      </c>
      <c r="M29" s="104" t="str">
        <f>' '!I37</f>
        <v/>
      </c>
      <c r="N29" s="104">
        <f>' '!J37</f>
        <v>0</v>
      </c>
      <c r="O29" s="104">
        <f>' '!K37</f>
        <v>0</v>
      </c>
      <c r="Q29" s="109" t="str">
        <f>' '!P37</f>
        <v/>
      </c>
      <c r="R29" s="104" t="str">
        <f>' '!Q37</f>
        <v/>
      </c>
    </row>
    <row r="30" spans="1:18" x14ac:dyDescent="0.25">
      <c r="A30" s="111">
        <f>' '!A38</f>
        <v>14</v>
      </c>
      <c r="B30" s="113">
        <f>' '!B38</f>
        <v>44621</v>
      </c>
      <c r="C30" s="111">
        <f>' '!D38</f>
        <v>28</v>
      </c>
      <c r="D30" s="103">
        <f>' '!H38</f>
        <v>1337.5234230596025</v>
      </c>
      <c r="E30" s="103">
        <f>' '!F38</f>
        <v>596.95342305960241</v>
      </c>
      <c r="F30" s="104">
        <f>' '!G38</f>
        <v>740.57</v>
      </c>
      <c r="G30" s="103">
        <f>' '!O38</f>
        <v>0</v>
      </c>
      <c r="I30" s="104" t="str">
        <f>' '!M38</f>
        <v/>
      </c>
      <c r="M30" s="104" t="str">
        <f>' '!I38</f>
        <v/>
      </c>
      <c r="N30" s="104" t="str">
        <f>' '!J38</f>
        <v/>
      </c>
      <c r="O30" s="104" t="str">
        <f>' '!K38</f>
        <v xml:space="preserve"> </v>
      </c>
      <c r="Q30" s="109" t="str">
        <f>' '!P38</f>
        <v/>
      </c>
      <c r="R30" s="104" t="str">
        <f>' '!Q38</f>
        <v/>
      </c>
    </row>
    <row r="31" spans="1:18" x14ac:dyDescent="0.25">
      <c r="A31" s="111">
        <f>' '!A39</f>
        <v>15</v>
      </c>
      <c r="B31" s="113">
        <f>' '!B39</f>
        <v>44652</v>
      </c>
      <c r="C31" s="111">
        <f>' '!D39</f>
        <v>31</v>
      </c>
      <c r="D31" s="103">
        <f>' '!H39</f>
        <v>1337.5234230596025</v>
      </c>
      <c r="E31" s="103">
        <f>' '!F39</f>
        <v>542.45342305960241</v>
      </c>
      <c r="F31" s="104">
        <f>' '!G39</f>
        <v>795.07</v>
      </c>
      <c r="G31" s="103">
        <f>' '!O39</f>
        <v>0</v>
      </c>
      <c r="I31" s="104" t="str">
        <f>' '!M39</f>
        <v/>
      </c>
      <c r="M31" s="104" t="str">
        <f>' '!I39</f>
        <v/>
      </c>
      <c r="N31" s="104" t="str">
        <f>' '!J39</f>
        <v/>
      </c>
      <c r="O31" s="104" t="str">
        <f>' '!K39</f>
        <v xml:space="preserve"> </v>
      </c>
      <c r="Q31" s="109" t="str">
        <f>' '!P39</f>
        <v/>
      </c>
      <c r="R31" s="104" t="str">
        <f>' '!Q39</f>
        <v/>
      </c>
    </row>
    <row r="32" spans="1:18" x14ac:dyDescent="0.25">
      <c r="A32" s="111">
        <f>' '!A40</f>
        <v>16</v>
      </c>
      <c r="B32" s="113">
        <f>' '!B40</f>
        <v>44682</v>
      </c>
      <c r="C32" s="111">
        <f>' '!D40</f>
        <v>30</v>
      </c>
      <c r="D32" s="103">
        <f>' '!H40</f>
        <v>1337.5234230596025</v>
      </c>
      <c r="E32" s="103">
        <f>' '!F40</f>
        <v>589.94342305960242</v>
      </c>
      <c r="F32" s="104">
        <f>' '!G40</f>
        <v>747.58</v>
      </c>
      <c r="G32" s="103">
        <f>' '!O40</f>
        <v>0</v>
      </c>
      <c r="I32" s="104" t="str">
        <f>' '!M40</f>
        <v/>
      </c>
      <c r="M32" s="104" t="str">
        <f>' '!I40</f>
        <v/>
      </c>
      <c r="N32" s="104" t="str">
        <f>' '!J40</f>
        <v/>
      </c>
      <c r="O32" s="104" t="str">
        <f>' '!K40</f>
        <v xml:space="preserve"> </v>
      </c>
      <c r="Q32" s="109" t="str">
        <f>' '!P40</f>
        <v/>
      </c>
      <c r="R32" s="104" t="str">
        <f>' '!Q40</f>
        <v/>
      </c>
    </row>
    <row r="33" spans="1:18" x14ac:dyDescent="0.25">
      <c r="A33" s="111">
        <f>' '!A41</f>
        <v>17</v>
      </c>
      <c r="B33" s="113">
        <f>' '!B41</f>
        <v>44713</v>
      </c>
      <c r="C33" s="111">
        <f>' '!D41</f>
        <v>31</v>
      </c>
      <c r="D33" s="103">
        <f>' '!H41</f>
        <v>1337.5234230596025</v>
      </c>
      <c r="E33" s="103">
        <f>' '!F41</f>
        <v>589.58342305960241</v>
      </c>
      <c r="F33" s="104">
        <f>' '!G41</f>
        <v>747.94</v>
      </c>
      <c r="G33" s="103">
        <f>' '!O41</f>
        <v>0</v>
      </c>
      <c r="I33" s="104" t="str">
        <f>' '!M41</f>
        <v/>
      </c>
      <c r="M33" s="104" t="str">
        <f>' '!I41</f>
        <v/>
      </c>
      <c r="N33" s="104" t="str">
        <f>' '!J41</f>
        <v/>
      </c>
      <c r="O33" s="104" t="str">
        <f>' '!K41</f>
        <v xml:space="preserve"> </v>
      </c>
      <c r="Q33" s="109" t="str">
        <f>' '!P41</f>
        <v/>
      </c>
      <c r="R33" s="104" t="str">
        <f>' '!Q41</f>
        <v/>
      </c>
    </row>
    <row r="34" spans="1:18" x14ac:dyDescent="0.25">
      <c r="A34" s="111">
        <f>' '!A42</f>
        <v>18</v>
      </c>
      <c r="B34" s="113">
        <f>' '!B42</f>
        <v>44743</v>
      </c>
      <c r="C34" s="111">
        <f>' '!D42</f>
        <v>30</v>
      </c>
      <c r="D34" s="103">
        <f>' '!H42</f>
        <v>1337.5234230596025</v>
      </c>
      <c r="E34" s="103">
        <f>' '!F42</f>
        <v>637.45342305960241</v>
      </c>
      <c r="F34" s="104">
        <f>' '!G42</f>
        <v>700.07</v>
      </c>
      <c r="G34" s="103">
        <f>' '!O42</f>
        <v>0</v>
      </c>
      <c r="I34" s="104" t="str">
        <f>' '!M42</f>
        <v/>
      </c>
      <c r="M34" s="104" t="str">
        <f>' '!I42</f>
        <v/>
      </c>
      <c r="N34" s="104" t="str">
        <f>' '!J42</f>
        <v/>
      </c>
      <c r="O34" s="104" t="str">
        <f>' '!K42</f>
        <v xml:space="preserve"> </v>
      </c>
      <c r="Q34" s="109" t="str">
        <f>' '!P42</f>
        <v/>
      </c>
      <c r="R34" s="104" t="str">
        <f>' '!Q42</f>
        <v/>
      </c>
    </row>
    <row r="35" spans="1:18" x14ac:dyDescent="0.25">
      <c r="A35" s="111">
        <f>' '!A43</f>
        <v>19</v>
      </c>
      <c r="B35" s="113">
        <f>' '!B43</f>
        <v>44774</v>
      </c>
      <c r="C35" s="111">
        <f>' '!D43</f>
        <v>31</v>
      </c>
      <c r="D35" s="103">
        <f>' '!H43</f>
        <v>1337.5234230596025</v>
      </c>
      <c r="E35" s="103">
        <f>' '!F43</f>
        <v>640.64342305960247</v>
      </c>
      <c r="F35" s="104">
        <f>' '!G43</f>
        <v>696.88</v>
      </c>
      <c r="G35" s="103">
        <f>' '!O43</f>
        <v>0</v>
      </c>
      <c r="I35" s="104" t="str">
        <f>' '!M43</f>
        <v/>
      </c>
      <c r="M35" s="104" t="str">
        <f>' '!I43</f>
        <v/>
      </c>
      <c r="N35" s="104" t="str">
        <f>' '!J43</f>
        <v/>
      </c>
      <c r="O35" s="104" t="str">
        <f>' '!K43</f>
        <v xml:space="preserve"> </v>
      </c>
      <c r="Q35" s="109" t="str">
        <f>' '!P43</f>
        <v/>
      </c>
      <c r="R35" s="104" t="str">
        <f>' '!Q43</f>
        <v/>
      </c>
    </row>
    <row r="36" spans="1:18" x14ac:dyDescent="0.25">
      <c r="A36" s="111">
        <f>' '!A44</f>
        <v>20</v>
      </c>
      <c r="B36" s="113">
        <f>' '!B44</f>
        <v>44805</v>
      </c>
      <c r="C36" s="111">
        <f>' '!D44</f>
        <v>31</v>
      </c>
      <c r="D36" s="103">
        <f>' '!H44</f>
        <v>1337.5234230596025</v>
      </c>
      <c r="E36" s="103">
        <f>' '!F44</f>
        <v>667.30342305960244</v>
      </c>
      <c r="F36" s="104">
        <f>' '!G44</f>
        <v>670.22</v>
      </c>
      <c r="G36" s="103">
        <f>' '!O44</f>
        <v>0</v>
      </c>
      <c r="I36" s="104" t="str">
        <f>' '!M44</f>
        <v/>
      </c>
      <c r="M36" s="104" t="str">
        <f>' '!I44</f>
        <v/>
      </c>
      <c r="N36" s="104" t="str">
        <f>' '!J44</f>
        <v/>
      </c>
      <c r="O36" s="104" t="str">
        <f>' '!K44</f>
        <v xml:space="preserve"> </v>
      </c>
      <c r="Q36" s="109" t="str">
        <f>' '!P44</f>
        <v/>
      </c>
      <c r="R36" s="104" t="str">
        <f>' '!Q44</f>
        <v/>
      </c>
    </row>
    <row r="37" spans="1:18" x14ac:dyDescent="0.25">
      <c r="A37" s="111">
        <f>' '!A45</f>
        <v>21</v>
      </c>
      <c r="B37" s="113">
        <f>' '!B45</f>
        <v>44835</v>
      </c>
      <c r="C37" s="111">
        <f>' '!D45</f>
        <v>30</v>
      </c>
      <c r="D37" s="103">
        <f>' '!H45</f>
        <v>1337.5234230596025</v>
      </c>
      <c r="E37" s="103">
        <f>' '!F45</f>
        <v>715.80342305960244</v>
      </c>
      <c r="F37" s="104">
        <f>' '!G45</f>
        <v>621.72</v>
      </c>
      <c r="G37" s="103">
        <f>' '!O45</f>
        <v>0</v>
      </c>
      <c r="I37" s="104" t="str">
        <f>' '!M45</f>
        <v/>
      </c>
      <c r="M37" s="104" t="str">
        <f>' '!I45</f>
        <v/>
      </c>
      <c r="N37" s="104" t="str">
        <f>' '!J45</f>
        <v/>
      </c>
      <c r="O37" s="104" t="str">
        <f>' '!K45</f>
        <v xml:space="preserve"> </v>
      </c>
      <c r="Q37" s="109" t="str">
        <f>' '!P45</f>
        <v/>
      </c>
      <c r="R37" s="104" t="str">
        <f>' '!Q45</f>
        <v/>
      </c>
    </row>
    <row r="38" spans="1:18" x14ac:dyDescent="0.25">
      <c r="A38" s="111">
        <f>' '!A46</f>
        <v>22</v>
      </c>
      <c r="B38" s="113">
        <f>' '!B46</f>
        <v>44866</v>
      </c>
      <c r="C38" s="111">
        <f>' '!D46</f>
        <v>31</v>
      </c>
      <c r="D38" s="103">
        <f>' '!H46</f>
        <v>1337.5234230596025</v>
      </c>
      <c r="E38" s="103">
        <f>' '!F46</f>
        <v>724.8634230596025</v>
      </c>
      <c r="F38" s="104">
        <f>' '!G46</f>
        <v>612.66</v>
      </c>
      <c r="G38" s="103">
        <f>' '!O46</f>
        <v>0</v>
      </c>
      <c r="I38" s="104" t="str">
        <f>' '!M46</f>
        <v/>
      </c>
      <c r="M38" s="104" t="str">
        <f>' '!I46</f>
        <v/>
      </c>
      <c r="N38" s="104" t="str">
        <f>' '!J46</f>
        <v/>
      </c>
      <c r="O38" s="104" t="str">
        <f>' '!K46</f>
        <v xml:space="preserve"> </v>
      </c>
      <c r="Q38" s="109" t="str">
        <f>' '!P46</f>
        <v/>
      </c>
      <c r="R38" s="104" t="str">
        <f>' '!Q46</f>
        <v/>
      </c>
    </row>
    <row r="39" spans="1:18" x14ac:dyDescent="0.25">
      <c r="A39" s="111">
        <f>' '!A47</f>
        <v>23</v>
      </c>
      <c r="B39" s="113">
        <f>' '!B47</f>
        <v>44896</v>
      </c>
      <c r="C39" s="111">
        <f>' '!D47</f>
        <v>30</v>
      </c>
      <c r="D39" s="103">
        <f>' '!H47</f>
        <v>1337.5234230596025</v>
      </c>
      <c r="E39" s="103">
        <f>' '!F47</f>
        <v>773.82342305960242</v>
      </c>
      <c r="F39" s="104">
        <f>' '!G47</f>
        <v>563.70000000000005</v>
      </c>
      <c r="G39" s="103">
        <f>' '!O47</f>
        <v>0</v>
      </c>
      <c r="I39" s="104" t="str">
        <f>' '!M47</f>
        <v/>
      </c>
      <c r="M39" s="104" t="str">
        <f>' '!I47</f>
        <v/>
      </c>
      <c r="N39" s="104" t="str">
        <f>' '!J47</f>
        <v/>
      </c>
      <c r="O39" s="104" t="str">
        <f>' '!K47</f>
        <v xml:space="preserve"> </v>
      </c>
      <c r="Q39" s="109" t="str">
        <f>' '!P47</f>
        <v/>
      </c>
      <c r="R39" s="104" t="str">
        <f>' '!Q47</f>
        <v/>
      </c>
    </row>
    <row r="40" spans="1:18" x14ac:dyDescent="0.25">
      <c r="A40" s="111">
        <f>' '!A48</f>
        <v>24</v>
      </c>
      <c r="B40" s="113">
        <f>' '!B48</f>
        <v>44927</v>
      </c>
      <c r="C40" s="111">
        <f>' '!D48</f>
        <v>31</v>
      </c>
      <c r="D40" s="103">
        <f>' '!H48</f>
        <v>1337.5234230596025</v>
      </c>
      <c r="E40" s="103">
        <f>' '!F48</f>
        <v>787.2334230596025</v>
      </c>
      <c r="F40" s="104">
        <f>' '!G48</f>
        <v>550.29</v>
      </c>
      <c r="G40" s="103">
        <f>' '!O48</f>
        <v>0</v>
      </c>
      <c r="I40" s="104" t="str">
        <f>' '!M48</f>
        <v/>
      </c>
      <c r="M40" s="104" t="str">
        <f>' '!I48</f>
        <v/>
      </c>
      <c r="N40" s="104" t="str">
        <f>' '!J48</f>
        <v/>
      </c>
      <c r="O40" s="104" t="str">
        <f>' '!K48</f>
        <v xml:space="preserve"> </v>
      </c>
      <c r="Q40" s="109" t="str">
        <f>' '!P48</f>
        <v/>
      </c>
      <c r="R40" s="104" t="str">
        <f>' '!Q48</f>
        <v/>
      </c>
    </row>
    <row r="41" spans="1:18" x14ac:dyDescent="0.25">
      <c r="A41" s="111">
        <f>' '!A49</f>
        <v>25</v>
      </c>
      <c r="B41" s="113">
        <f>' '!B49</f>
        <v>44958</v>
      </c>
      <c r="C41" s="111">
        <f>' '!D49</f>
        <v>31</v>
      </c>
      <c r="D41" s="103">
        <f>' '!H49</f>
        <v>1337.5234230596025</v>
      </c>
      <c r="E41" s="103">
        <f>' '!F49</f>
        <v>819.99342305960249</v>
      </c>
      <c r="F41" s="104">
        <f>' '!G49</f>
        <v>517.53</v>
      </c>
      <c r="G41" s="103">
        <f>' '!O49</f>
        <v>0</v>
      </c>
      <c r="I41" s="104" t="str">
        <f>' '!M49</f>
        <v/>
      </c>
      <c r="M41" s="104" t="str">
        <f>' '!I49</f>
        <v/>
      </c>
      <c r="N41" s="104">
        <f>' '!J49</f>
        <v>0</v>
      </c>
      <c r="O41" s="104">
        <f>' '!K49</f>
        <v>0</v>
      </c>
      <c r="Q41" s="109" t="str">
        <f>' '!P49</f>
        <v/>
      </c>
      <c r="R41" s="104" t="str">
        <f>' '!Q49</f>
        <v/>
      </c>
    </row>
    <row r="42" spans="1:18" x14ac:dyDescent="0.25">
      <c r="A42" s="111">
        <f>' '!A50</f>
        <v>26</v>
      </c>
      <c r="B42" s="113">
        <f>' '!B50</f>
        <v>44986</v>
      </c>
      <c r="C42" s="111">
        <f>' '!D50</f>
        <v>28</v>
      </c>
      <c r="D42" s="103">
        <f>' '!H50</f>
        <v>1337.5234230596025</v>
      </c>
      <c r="E42" s="103">
        <f>' '!F50</f>
        <v>900.90342305960246</v>
      </c>
      <c r="F42" s="104">
        <f>' '!G50</f>
        <v>436.62</v>
      </c>
      <c r="G42" s="103">
        <f>' '!O50</f>
        <v>0</v>
      </c>
      <c r="I42" s="104" t="str">
        <f>' '!M50</f>
        <v/>
      </c>
      <c r="M42" s="104" t="str">
        <f>' '!I50</f>
        <v/>
      </c>
      <c r="N42" s="104" t="str">
        <f>' '!J50</f>
        <v/>
      </c>
      <c r="O42" s="104" t="str">
        <f>' '!K50</f>
        <v xml:space="preserve"> </v>
      </c>
      <c r="Q42" s="109" t="str">
        <f>' '!P50</f>
        <v/>
      </c>
      <c r="R42" s="104" t="str">
        <f>' '!Q50</f>
        <v/>
      </c>
    </row>
    <row r="43" spans="1:18" x14ac:dyDescent="0.25">
      <c r="A43" s="111">
        <f>' '!A51</f>
        <v>27</v>
      </c>
      <c r="B43" s="113">
        <f>' '!B51</f>
        <v>45017</v>
      </c>
      <c r="C43" s="111">
        <f>' '!D51</f>
        <v>31</v>
      </c>
      <c r="D43" s="103">
        <f>' '!H51</f>
        <v>1337.5234230596025</v>
      </c>
      <c r="E43" s="103">
        <f>' '!F51</f>
        <v>891.61342305960238</v>
      </c>
      <c r="F43" s="104">
        <f>' '!G51</f>
        <v>445.91</v>
      </c>
      <c r="G43" s="103">
        <f>' '!O51</f>
        <v>0</v>
      </c>
      <c r="I43" s="104" t="str">
        <f>' '!M51</f>
        <v/>
      </c>
      <c r="M43" s="104" t="str">
        <f>' '!I51</f>
        <v/>
      </c>
      <c r="N43" s="104" t="str">
        <f>' '!J51</f>
        <v/>
      </c>
      <c r="O43" s="104" t="str">
        <f>' '!K51</f>
        <v xml:space="preserve"> </v>
      </c>
      <c r="Q43" s="109" t="str">
        <f>' '!P51</f>
        <v/>
      </c>
      <c r="R43" s="104" t="str">
        <f>' '!Q51</f>
        <v/>
      </c>
    </row>
    <row r="44" spans="1:18" x14ac:dyDescent="0.25">
      <c r="A44" s="111">
        <f>' '!A52</f>
        <v>28</v>
      </c>
      <c r="B44" s="113">
        <f>' '!B52</f>
        <v>45047</v>
      </c>
      <c r="C44" s="111">
        <f>' '!D52</f>
        <v>30</v>
      </c>
      <c r="D44" s="103">
        <f>' '!H52</f>
        <v>1337.5234230596025</v>
      </c>
      <c r="E44" s="103">
        <f>' '!F52</f>
        <v>941.90342305960246</v>
      </c>
      <c r="F44" s="104">
        <f>' '!G52</f>
        <v>395.62</v>
      </c>
      <c r="G44" s="103">
        <f>' '!O52</f>
        <v>0</v>
      </c>
      <c r="I44" s="104" t="str">
        <f>' '!M52</f>
        <v/>
      </c>
      <c r="M44" s="104" t="str">
        <f>' '!I52</f>
        <v/>
      </c>
      <c r="N44" s="104" t="str">
        <f>' '!J52</f>
        <v/>
      </c>
      <c r="O44" s="104" t="str">
        <f>' '!K52</f>
        <v xml:space="preserve"> </v>
      </c>
      <c r="Q44" s="109" t="str">
        <f>' '!P52</f>
        <v/>
      </c>
      <c r="R44" s="104" t="str">
        <f>' '!Q52</f>
        <v/>
      </c>
    </row>
    <row r="45" spans="1:18" x14ac:dyDescent="0.25">
      <c r="A45" s="111">
        <f>' '!A53</f>
        <v>29</v>
      </c>
      <c r="B45" s="113">
        <f>' '!B53</f>
        <v>45078</v>
      </c>
      <c r="C45" s="111">
        <f>' '!D53</f>
        <v>31</v>
      </c>
      <c r="D45" s="103">
        <f>' '!H53</f>
        <v>1337.5234230596025</v>
      </c>
      <c r="E45" s="103">
        <f>' '!F53</f>
        <v>967.92342305960244</v>
      </c>
      <c r="F45" s="104">
        <f>' '!G53</f>
        <v>369.6</v>
      </c>
      <c r="G45" s="103">
        <f>' '!O53</f>
        <v>0</v>
      </c>
      <c r="I45" s="104" t="str">
        <f>' '!M53</f>
        <v/>
      </c>
      <c r="M45" s="104" t="str">
        <f>' '!I53</f>
        <v/>
      </c>
      <c r="N45" s="104" t="str">
        <f>' '!J53</f>
        <v/>
      </c>
      <c r="O45" s="104" t="str">
        <f>' '!K53</f>
        <v xml:space="preserve"> </v>
      </c>
      <c r="Q45" s="109" t="str">
        <f>' '!P53</f>
        <v/>
      </c>
      <c r="R45" s="104" t="str">
        <f>' '!Q53</f>
        <v/>
      </c>
    </row>
    <row r="46" spans="1:18" x14ac:dyDescent="0.25">
      <c r="A46" s="111">
        <f>' '!A54</f>
        <v>30</v>
      </c>
      <c r="B46" s="113">
        <f>' '!B54</f>
        <v>45108</v>
      </c>
      <c r="C46" s="111">
        <f>' '!D54</f>
        <v>30</v>
      </c>
      <c r="D46" s="103">
        <f>' '!H54</f>
        <v>1337.5234230596025</v>
      </c>
      <c r="E46" s="103">
        <f>' '!F54</f>
        <v>1018.8234230596024</v>
      </c>
      <c r="F46" s="104">
        <f>' '!G54</f>
        <v>318.7</v>
      </c>
      <c r="G46" s="103">
        <f>' '!O54</f>
        <v>0</v>
      </c>
      <c r="I46" s="104" t="str">
        <f>' '!M54</f>
        <v/>
      </c>
      <c r="M46" s="104" t="str">
        <f>' '!I54</f>
        <v/>
      </c>
      <c r="N46" s="104" t="str">
        <f>' '!J54</f>
        <v/>
      </c>
      <c r="O46" s="104" t="str">
        <f>' '!K54</f>
        <v xml:space="preserve"> </v>
      </c>
      <c r="Q46" s="109" t="str">
        <f>' '!P54</f>
        <v/>
      </c>
      <c r="R46" s="104" t="str">
        <f>' '!Q54</f>
        <v/>
      </c>
    </row>
    <row r="47" spans="1:18" x14ac:dyDescent="0.25">
      <c r="A47" s="111">
        <f>' '!A55</f>
        <v>31</v>
      </c>
      <c r="B47" s="113">
        <f>' '!B55</f>
        <v>45139</v>
      </c>
      <c r="C47" s="111">
        <f>' '!D55</f>
        <v>31</v>
      </c>
      <c r="D47" s="103">
        <f>' '!H55</f>
        <v>1337.5234230596025</v>
      </c>
      <c r="E47" s="103">
        <f>' '!F55</f>
        <v>1050.6034230596024</v>
      </c>
      <c r="F47" s="104">
        <f>' '!G55</f>
        <v>286.92</v>
      </c>
      <c r="G47" s="103">
        <f>' '!O55</f>
        <v>0</v>
      </c>
      <c r="I47" s="104" t="str">
        <f>' '!M55</f>
        <v/>
      </c>
      <c r="M47" s="104" t="str">
        <f>' '!I55</f>
        <v/>
      </c>
      <c r="N47" s="104" t="str">
        <f>' '!J55</f>
        <v/>
      </c>
      <c r="O47" s="104" t="str">
        <f>' '!K55</f>
        <v xml:space="preserve"> </v>
      </c>
      <c r="Q47" s="109" t="str">
        <f>' '!P55</f>
        <v/>
      </c>
      <c r="R47" s="104" t="str">
        <f>' '!Q55</f>
        <v/>
      </c>
    </row>
    <row r="48" spans="1:18" x14ac:dyDescent="0.25">
      <c r="A48" s="111">
        <f>' '!A56</f>
        <v>32</v>
      </c>
      <c r="B48" s="113">
        <f>' '!B56</f>
        <v>45170</v>
      </c>
      <c r="C48" s="111">
        <f>' '!D56</f>
        <v>31</v>
      </c>
      <c r="D48" s="103">
        <f>' '!H56</f>
        <v>1337.5234230596025</v>
      </c>
      <c r="E48" s="103">
        <f>' '!F56</f>
        <v>1094.3234230596024</v>
      </c>
      <c r="F48" s="104">
        <f>' '!G56</f>
        <v>243.2</v>
      </c>
      <c r="G48" s="103">
        <f>' '!O56</f>
        <v>0</v>
      </c>
      <c r="I48" s="104" t="str">
        <f>' '!M56</f>
        <v/>
      </c>
      <c r="M48" s="104" t="str">
        <f>' '!I56</f>
        <v/>
      </c>
      <c r="N48" s="104" t="str">
        <f>' '!J56</f>
        <v/>
      </c>
      <c r="O48" s="104" t="str">
        <f>' '!K56</f>
        <v xml:space="preserve"> </v>
      </c>
      <c r="Q48" s="109" t="str">
        <f>' '!P56</f>
        <v/>
      </c>
      <c r="R48" s="104" t="str">
        <f>' '!Q56</f>
        <v/>
      </c>
    </row>
    <row r="49" spans="1:18" x14ac:dyDescent="0.25">
      <c r="A49" s="111">
        <f>' '!A57</f>
        <v>33</v>
      </c>
      <c r="B49" s="113">
        <f>' '!B57</f>
        <v>45200</v>
      </c>
      <c r="C49" s="111">
        <f>' '!D57</f>
        <v>30</v>
      </c>
      <c r="D49" s="103">
        <f>' '!H57</f>
        <v>1337.5234230596025</v>
      </c>
      <c r="E49" s="103">
        <f>' '!F57</f>
        <v>1146.2434230596025</v>
      </c>
      <c r="F49" s="104">
        <f>' '!G57</f>
        <v>191.28</v>
      </c>
      <c r="G49" s="103">
        <f>' '!O57</f>
        <v>0</v>
      </c>
      <c r="I49" s="104" t="str">
        <f>' '!M57</f>
        <v/>
      </c>
      <c r="M49" s="104" t="str">
        <f>' '!I57</f>
        <v/>
      </c>
      <c r="N49" s="104" t="str">
        <f>' '!J57</f>
        <v/>
      </c>
      <c r="O49" s="104" t="str">
        <f>' '!K57</f>
        <v xml:space="preserve"> </v>
      </c>
      <c r="Q49" s="109" t="str">
        <f>' '!P57</f>
        <v/>
      </c>
      <c r="R49" s="104" t="str">
        <f>' '!Q57</f>
        <v/>
      </c>
    </row>
    <row r="50" spans="1:18" x14ac:dyDescent="0.25">
      <c r="A50" s="111">
        <f>' '!A58</f>
        <v>34</v>
      </c>
      <c r="B50" s="113">
        <f>' '!B58</f>
        <v>45231</v>
      </c>
      <c r="C50" s="111">
        <f>' '!D58</f>
        <v>31</v>
      </c>
      <c r="D50" s="103">
        <f>' '!H58</f>
        <v>1337.5234230596025</v>
      </c>
      <c r="E50" s="103">
        <f>' '!F58</f>
        <v>1187.5634230596024</v>
      </c>
      <c r="F50" s="104">
        <f>' '!G58</f>
        <v>149.96</v>
      </c>
      <c r="G50" s="103">
        <f>' '!O58</f>
        <v>0</v>
      </c>
      <c r="I50" s="104" t="str">
        <f>' '!M58</f>
        <v/>
      </c>
      <c r="M50" s="104" t="str">
        <f>' '!I58</f>
        <v/>
      </c>
      <c r="N50" s="104" t="str">
        <f>' '!J58</f>
        <v/>
      </c>
      <c r="O50" s="104" t="str">
        <f>' '!K58</f>
        <v xml:space="preserve"> </v>
      </c>
      <c r="Q50" s="109" t="str">
        <f>' '!P58</f>
        <v/>
      </c>
      <c r="R50" s="104" t="str">
        <f>' '!Q58</f>
        <v/>
      </c>
    </row>
    <row r="51" spans="1:18" x14ac:dyDescent="0.25">
      <c r="A51" s="111">
        <f>' '!A59</f>
        <v>35</v>
      </c>
      <c r="B51" s="113">
        <f>' '!B59</f>
        <v>45261</v>
      </c>
      <c r="C51" s="111">
        <f>' '!D59</f>
        <v>30</v>
      </c>
      <c r="D51" s="103">
        <f>' '!H59</f>
        <v>1337.5234230596025</v>
      </c>
      <c r="E51" s="103">
        <f>' '!F59</f>
        <v>1240.2334230596025</v>
      </c>
      <c r="F51" s="104">
        <f>' '!G59</f>
        <v>97.29</v>
      </c>
      <c r="G51" s="103">
        <f>' '!O59</f>
        <v>0</v>
      </c>
      <c r="I51" s="104" t="str">
        <f>' '!M59</f>
        <v/>
      </c>
      <c r="M51" s="104" t="str">
        <f>' '!I59</f>
        <v/>
      </c>
      <c r="N51" s="104" t="str">
        <f>' '!J59</f>
        <v/>
      </c>
      <c r="O51" s="104" t="str">
        <f>' '!K59</f>
        <v xml:space="preserve">  </v>
      </c>
      <c r="Q51" s="109" t="str">
        <f>' '!P59</f>
        <v/>
      </c>
      <c r="R51" s="104" t="str">
        <f>' '!Q59</f>
        <v/>
      </c>
    </row>
    <row r="52" spans="1:18" x14ac:dyDescent="0.25">
      <c r="A52" s="111">
        <f>' '!A60</f>
        <v>36</v>
      </c>
      <c r="B52" s="113">
        <f>' '!B60</f>
        <v>45292</v>
      </c>
      <c r="C52" s="111">
        <f>' '!D60</f>
        <v>30</v>
      </c>
      <c r="D52" s="103">
        <f>' '!H60</f>
        <v>1222.8399999999999</v>
      </c>
      <c r="E52" s="103">
        <f>' '!F60</f>
        <v>1175.5</v>
      </c>
      <c r="F52" s="104">
        <f>' '!G60</f>
        <v>47.34</v>
      </c>
      <c r="G52" s="103">
        <f>' '!O60</f>
        <v>0</v>
      </c>
      <c r="I52" s="104" t="str">
        <f>' '!M60</f>
        <v/>
      </c>
      <c r="M52" s="104" t="str">
        <f>' '!I60</f>
        <v/>
      </c>
      <c r="N52" s="104" t="str">
        <f>' '!J60</f>
        <v/>
      </c>
      <c r="O52" s="104" t="str">
        <f>' '!K60</f>
        <v xml:space="preserve"> </v>
      </c>
      <c r="Q52" s="109" t="str">
        <f>' '!P60</f>
        <v/>
      </c>
      <c r="R52" s="104" t="str">
        <f>' '!Q60</f>
        <v/>
      </c>
    </row>
    <row r="53" spans="1:18" x14ac:dyDescent="0.25">
      <c r="A53" s="111" t="str">
        <f>' '!A61</f>
        <v/>
      </c>
      <c r="B53" s="113" t="str">
        <f>' '!B61</f>
        <v/>
      </c>
      <c r="C53" s="111" t="str">
        <f>' '!D61</f>
        <v/>
      </c>
      <c r="D53" s="103">
        <f>' '!H61</f>
        <v>48036.159807086107</v>
      </c>
      <c r="E53" s="103">
        <f>' '!F61</f>
        <v>25001</v>
      </c>
      <c r="F53" s="104">
        <f>' '!G61</f>
        <v>23035.16</v>
      </c>
      <c r="G53" s="103">
        <f>' '!O61</f>
        <v>0</v>
      </c>
      <c r="I53" s="104">
        <f>' '!M61</f>
        <v>1500.06</v>
      </c>
      <c r="M53" s="104">
        <f>' '!I61</f>
        <v>0</v>
      </c>
      <c r="N53" s="104">
        <f>' '!J61</f>
        <v>0</v>
      </c>
      <c r="O53" s="104">
        <f>' '!K61</f>
        <v>0</v>
      </c>
      <c r="Q53" s="109">
        <f>' '!P61</f>
        <v>0.70417424440383902</v>
      </c>
      <c r="R53" s="104">
        <f>' '!Q61</f>
        <v>49536.22</v>
      </c>
    </row>
    <row r="54" spans="1:18" x14ac:dyDescent="0.25">
      <c r="A54" s="111" t="str">
        <f>' '!A62</f>
        <v/>
      </c>
      <c r="B54" s="113" t="str">
        <f>' '!B62</f>
        <v/>
      </c>
      <c r="C54" s="111" t="str">
        <f>' '!D62</f>
        <v/>
      </c>
      <c r="D54" s="103" t="str">
        <f>' '!H62</f>
        <v/>
      </c>
      <c r="E54" s="103" t="str">
        <f>' '!F62</f>
        <v/>
      </c>
      <c r="F54" s="104" t="str">
        <f>' '!G62</f>
        <v/>
      </c>
      <c r="G54" s="103" t="str">
        <f>' '!O62</f>
        <v xml:space="preserve"> </v>
      </c>
      <c r="I54" s="104" t="str">
        <f>' '!M62</f>
        <v/>
      </c>
      <c r="M54" s="104" t="str">
        <f>' '!I62</f>
        <v/>
      </c>
      <c r="N54" s="104" t="str">
        <f>' '!J62</f>
        <v/>
      </c>
      <c r="O54" s="104" t="str">
        <f>' '!K62</f>
        <v xml:space="preserve"> </v>
      </c>
      <c r="Q54" s="109" t="str">
        <f>' '!P62</f>
        <v/>
      </c>
      <c r="R54" s="104" t="str">
        <f>' '!Q62</f>
        <v/>
      </c>
    </row>
    <row r="55" spans="1:18" x14ac:dyDescent="0.25">
      <c r="A55" s="111" t="str">
        <f>' '!A63</f>
        <v/>
      </c>
      <c r="B55" s="113" t="str">
        <f>' '!B63</f>
        <v/>
      </c>
      <c r="C55" s="111" t="str">
        <f>' '!D63</f>
        <v/>
      </c>
      <c r="D55" s="103" t="str">
        <f>' '!H63</f>
        <v/>
      </c>
      <c r="E55" s="103" t="str">
        <f>' '!F63</f>
        <v/>
      </c>
      <c r="F55" s="104" t="str">
        <f>' '!G63</f>
        <v/>
      </c>
      <c r="G55" s="103" t="str">
        <f>' '!O63</f>
        <v xml:space="preserve"> </v>
      </c>
      <c r="I55" s="104" t="str">
        <f>' '!M63</f>
        <v/>
      </c>
      <c r="M55" s="104" t="str">
        <f>' '!I63</f>
        <v/>
      </c>
      <c r="N55" s="104" t="str">
        <f>' '!J63</f>
        <v/>
      </c>
      <c r="O55" s="104" t="str">
        <f>' '!K63</f>
        <v xml:space="preserve"> </v>
      </c>
      <c r="Q55" s="109" t="str">
        <f>' '!P63</f>
        <v/>
      </c>
      <c r="R55" s="104" t="str">
        <f>' '!Q63</f>
        <v/>
      </c>
    </row>
    <row r="56" spans="1:18" x14ac:dyDescent="0.25">
      <c r="A56" s="111" t="str">
        <f>' '!A64</f>
        <v/>
      </c>
      <c r="B56" s="113" t="str">
        <f>' '!B64</f>
        <v/>
      </c>
      <c r="C56" s="111" t="str">
        <f>' '!D64</f>
        <v/>
      </c>
      <c r="D56" s="103" t="str">
        <f>' '!H64</f>
        <v/>
      </c>
      <c r="E56" s="103" t="str">
        <f>' '!F64</f>
        <v/>
      </c>
      <c r="F56" s="104" t="str">
        <f>' '!G64</f>
        <v/>
      </c>
      <c r="G56" s="103" t="str">
        <f>' '!O64</f>
        <v xml:space="preserve"> </v>
      </c>
      <c r="I56" s="104" t="str">
        <f>' '!M64</f>
        <v/>
      </c>
      <c r="M56" s="104" t="str">
        <f>' '!I64</f>
        <v/>
      </c>
      <c r="N56" s="104" t="str">
        <f>' '!J64</f>
        <v/>
      </c>
      <c r="O56" s="104" t="str">
        <f>' '!K64</f>
        <v xml:space="preserve"> </v>
      </c>
      <c r="Q56" s="109" t="str">
        <f>' '!P64</f>
        <v/>
      </c>
      <c r="R56" s="104" t="str">
        <f>' '!Q64</f>
        <v/>
      </c>
    </row>
    <row r="57" spans="1:18" x14ac:dyDescent="0.25">
      <c r="A57" s="111" t="str">
        <f>' '!A65</f>
        <v/>
      </c>
      <c r="B57" s="113" t="str">
        <f>' '!B65</f>
        <v/>
      </c>
      <c r="C57" s="111" t="str">
        <f>' '!D65</f>
        <v/>
      </c>
      <c r="D57" s="103" t="str">
        <f>' '!H65</f>
        <v/>
      </c>
      <c r="E57" s="103" t="str">
        <f>' '!F65</f>
        <v/>
      </c>
      <c r="F57" s="104" t="str">
        <f>' '!G65</f>
        <v/>
      </c>
      <c r="G57" s="103" t="str">
        <f>' '!O65</f>
        <v xml:space="preserve"> </v>
      </c>
      <c r="I57" s="104" t="str">
        <f>' '!M65</f>
        <v/>
      </c>
      <c r="M57" s="104" t="str">
        <f>' '!I65</f>
        <v/>
      </c>
      <c r="N57" s="104" t="str">
        <f>' '!J65</f>
        <v/>
      </c>
      <c r="O57" s="104" t="str">
        <f>' '!K65</f>
        <v xml:space="preserve"> </v>
      </c>
      <c r="Q57" s="109" t="str">
        <f>' '!P65</f>
        <v/>
      </c>
      <c r="R57" s="104" t="str">
        <f>' '!Q65</f>
        <v/>
      </c>
    </row>
    <row r="58" spans="1:18" x14ac:dyDescent="0.25">
      <c r="A58" s="111" t="str">
        <f>' '!A66</f>
        <v/>
      </c>
      <c r="B58" s="113" t="str">
        <f>' '!B66</f>
        <v/>
      </c>
      <c r="C58" s="111" t="str">
        <f>' '!D66</f>
        <v/>
      </c>
      <c r="D58" s="103" t="str">
        <f>' '!H66</f>
        <v/>
      </c>
      <c r="E58" s="103" t="str">
        <f>' '!F66</f>
        <v/>
      </c>
      <c r="F58" s="104" t="str">
        <f>' '!G66</f>
        <v/>
      </c>
      <c r="G58" s="103" t="str">
        <f>' '!O66</f>
        <v xml:space="preserve"> </v>
      </c>
      <c r="I58" s="104" t="str">
        <f>' '!M66</f>
        <v/>
      </c>
      <c r="M58" s="104" t="str">
        <f>' '!I66</f>
        <v/>
      </c>
      <c r="N58" s="104" t="str">
        <f>' '!J66</f>
        <v/>
      </c>
      <c r="O58" s="104" t="str">
        <f>' '!K66</f>
        <v xml:space="preserve"> </v>
      </c>
      <c r="Q58" s="109" t="str">
        <f>' '!P66</f>
        <v/>
      </c>
      <c r="R58" s="104" t="str">
        <f>' '!Q66</f>
        <v/>
      </c>
    </row>
    <row r="59" spans="1:18" x14ac:dyDescent="0.25">
      <c r="A59" s="111" t="str">
        <f>' '!A67</f>
        <v/>
      </c>
      <c r="B59" s="113" t="str">
        <f>' '!B67</f>
        <v/>
      </c>
      <c r="C59" s="111" t="str">
        <f>' '!D67</f>
        <v/>
      </c>
      <c r="D59" s="103" t="str">
        <f>' '!H67</f>
        <v/>
      </c>
      <c r="E59" s="103" t="str">
        <f>' '!F67</f>
        <v/>
      </c>
      <c r="F59" s="104" t="str">
        <f>' '!G67</f>
        <v/>
      </c>
      <c r="G59" s="103" t="str">
        <f>' '!O67</f>
        <v xml:space="preserve"> </v>
      </c>
      <c r="I59" s="104" t="str">
        <f>' '!M67</f>
        <v/>
      </c>
      <c r="M59" s="104" t="str">
        <f>' '!I67</f>
        <v/>
      </c>
      <c r="N59" s="104" t="str">
        <f>' '!J67</f>
        <v/>
      </c>
      <c r="O59" s="104" t="str">
        <f>' '!K67</f>
        <v xml:space="preserve"> </v>
      </c>
      <c r="Q59" s="109" t="str">
        <f>' '!P67</f>
        <v/>
      </c>
      <c r="R59" s="104" t="str">
        <f>' '!Q67</f>
        <v/>
      </c>
    </row>
    <row r="60" spans="1:18" x14ac:dyDescent="0.25">
      <c r="A60" s="111" t="str">
        <f>' '!A68</f>
        <v/>
      </c>
      <c r="B60" s="113" t="str">
        <f>' '!B68</f>
        <v/>
      </c>
      <c r="C60" s="111" t="str">
        <f>' '!D68</f>
        <v/>
      </c>
      <c r="D60" s="103" t="str">
        <f>' '!H68</f>
        <v/>
      </c>
      <c r="E60" s="103" t="str">
        <f>' '!F68</f>
        <v/>
      </c>
      <c r="F60" s="104" t="str">
        <f>' '!G68</f>
        <v/>
      </c>
      <c r="G60" s="103" t="str">
        <f>' '!O68</f>
        <v xml:space="preserve"> </v>
      </c>
      <c r="I60" s="104" t="str">
        <f>' '!M68</f>
        <v/>
      </c>
      <c r="M60" s="104" t="str">
        <f>' '!I68</f>
        <v/>
      </c>
      <c r="N60" s="104" t="str">
        <f>' '!J68</f>
        <v/>
      </c>
      <c r="O60" s="104" t="str">
        <f>' '!K68</f>
        <v xml:space="preserve"> </v>
      </c>
      <c r="Q60" s="109" t="str">
        <f>' '!P68</f>
        <v/>
      </c>
      <c r="R60" s="104" t="str">
        <f>' '!Q68</f>
        <v/>
      </c>
    </row>
    <row r="61" spans="1:18" x14ac:dyDescent="0.25">
      <c r="A61" s="111" t="str">
        <f>' '!A69</f>
        <v/>
      </c>
      <c r="B61" s="113" t="str">
        <f>' '!B69</f>
        <v/>
      </c>
      <c r="C61" s="111" t="str">
        <f>' '!D69</f>
        <v/>
      </c>
      <c r="D61" s="103" t="str">
        <f>' '!H69</f>
        <v/>
      </c>
      <c r="E61" s="103" t="str">
        <f>' '!F69</f>
        <v/>
      </c>
      <c r="F61" s="104" t="str">
        <f>' '!G69</f>
        <v/>
      </c>
      <c r="G61" s="103" t="str">
        <f>' '!O69</f>
        <v xml:space="preserve"> </v>
      </c>
      <c r="I61" s="104" t="str">
        <f>' '!M69</f>
        <v/>
      </c>
      <c r="M61" s="104" t="str">
        <f>' '!I69</f>
        <v/>
      </c>
      <c r="N61" s="104" t="str">
        <f>' '!J69</f>
        <v/>
      </c>
      <c r="O61" s="104" t="str">
        <f>' '!K69</f>
        <v xml:space="preserve"> </v>
      </c>
      <c r="Q61" s="109" t="str">
        <f>' '!P69</f>
        <v/>
      </c>
      <c r="R61" s="104" t="str">
        <f>' '!Q69</f>
        <v/>
      </c>
    </row>
    <row r="62" spans="1:18" x14ac:dyDescent="0.25">
      <c r="A62" s="111" t="str">
        <f>' '!A70</f>
        <v/>
      </c>
      <c r="B62" s="113" t="str">
        <f>' '!B70</f>
        <v/>
      </c>
      <c r="C62" s="111" t="str">
        <f>' '!D70</f>
        <v/>
      </c>
      <c r="D62" s="103" t="str">
        <f>' '!H70</f>
        <v/>
      </c>
      <c r="E62" s="103" t="str">
        <f>' '!F70</f>
        <v/>
      </c>
      <c r="F62" s="104" t="str">
        <f>' '!G70</f>
        <v/>
      </c>
      <c r="G62" s="103" t="str">
        <f>' '!O70</f>
        <v xml:space="preserve"> </v>
      </c>
      <c r="I62" s="104" t="str">
        <f>' '!M70</f>
        <v/>
      </c>
      <c r="M62" s="104" t="str">
        <f>' '!I70</f>
        <v/>
      </c>
      <c r="N62" s="104" t="str">
        <f>' '!J70</f>
        <v/>
      </c>
      <c r="O62" s="104" t="str">
        <f>' '!K70</f>
        <v xml:space="preserve"> </v>
      </c>
      <c r="Q62" s="109" t="str">
        <f>' '!P70</f>
        <v/>
      </c>
      <c r="R62" s="104" t="str">
        <f>' '!Q70</f>
        <v/>
      </c>
    </row>
    <row r="63" spans="1:18" x14ac:dyDescent="0.25">
      <c r="A63" s="111" t="str">
        <f>' '!A71</f>
        <v/>
      </c>
      <c r="B63" s="113" t="str">
        <f>' '!B71</f>
        <v/>
      </c>
      <c r="C63" s="111" t="str">
        <f>' '!D71</f>
        <v/>
      </c>
      <c r="D63" s="103" t="str">
        <f>' '!H71</f>
        <v/>
      </c>
      <c r="E63" s="103" t="str">
        <f>' '!F71</f>
        <v/>
      </c>
      <c r="F63" s="104" t="str">
        <f>' '!G71</f>
        <v/>
      </c>
      <c r="G63" s="103" t="str">
        <f>' '!O71</f>
        <v xml:space="preserve"> </v>
      </c>
      <c r="I63" s="104" t="str">
        <f>' '!M71</f>
        <v/>
      </c>
      <c r="M63" s="104" t="str">
        <f>' '!I71</f>
        <v/>
      </c>
      <c r="N63" s="104" t="str">
        <f>' '!J71</f>
        <v/>
      </c>
      <c r="O63" s="104" t="str">
        <f>' '!K71</f>
        <v xml:space="preserve"> </v>
      </c>
      <c r="Q63" s="109" t="str">
        <f>' '!P71</f>
        <v/>
      </c>
      <c r="R63" s="104" t="str">
        <f>' '!Q71</f>
        <v/>
      </c>
    </row>
    <row r="64" spans="1:18" x14ac:dyDescent="0.25">
      <c r="A64" s="111" t="str">
        <f>' '!A72</f>
        <v/>
      </c>
      <c r="B64" s="113" t="str">
        <f>' '!B72</f>
        <v/>
      </c>
      <c r="C64" s="111" t="str">
        <f>' '!D72</f>
        <v/>
      </c>
      <c r="D64" s="103" t="str">
        <f>' '!H72</f>
        <v/>
      </c>
      <c r="E64" s="103" t="str">
        <f>' '!F72</f>
        <v/>
      </c>
      <c r="F64" s="104" t="str">
        <f>' '!G72</f>
        <v/>
      </c>
      <c r="G64" s="103" t="str">
        <f>' '!O72</f>
        <v xml:space="preserve"> </v>
      </c>
      <c r="I64" s="104" t="str">
        <f>' '!M72</f>
        <v/>
      </c>
      <c r="M64" s="104" t="str">
        <f>' '!I72</f>
        <v/>
      </c>
      <c r="N64" s="104" t="str">
        <f>' '!J72</f>
        <v/>
      </c>
      <c r="O64" s="104" t="str">
        <f>' '!K72</f>
        <v xml:space="preserve"> </v>
      </c>
      <c r="Q64" s="109" t="str">
        <f>' '!P72</f>
        <v/>
      </c>
      <c r="R64" s="104" t="str">
        <f>' '!Q72</f>
        <v/>
      </c>
    </row>
    <row r="65" spans="1:18" x14ac:dyDescent="0.25">
      <c r="A65" s="111" t="str">
        <f>' '!A73</f>
        <v/>
      </c>
      <c r="B65" s="113" t="str">
        <f>' '!B73</f>
        <v/>
      </c>
      <c r="C65" s="111" t="str">
        <f>' '!D73</f>
        <v/>
      </c>
      <c r="D65" s="103" t="str">
        <f>' '!H73</f>
        <v/>
      </c>
      <c r="E65" s="103" t="str">
        <f>' '!F73</f>
        <v/>
      </c>
      <c r="F65" s="104" t="str">
        <f>' '!G73</f>
        <v/>
      </c>
      <c r="G65" s="103" t="str">
        <f>' '!O73</f>
        <v xml:space="preserve"> </v>
      </c>
      <c r="I65" s="104" t="str">
        <f>' '!M73</f>
        <v/>
      </c>
      <c r="M65" s="104" t="str">
        <f>' '!I73</f>
        <v/>
      </c>
      <c r="N65" s="104" t="str">
        <f>' '!J73</f>
        <v xml:space="preserve"> </v>
      </c>
      <c r="O65" s="104" t="str">
        <f>' '!K73</f>
        <v/>
      </c>
      <c r="Q65" s="109" t="str">
        <f>' '!P73</f>
        <v/>
      </c>
      <c r="R65" s="104" t="str">
        <f>' '!Q73</f>
        <v/>
      </c>
    </row>
    <row r="66" spans="1:18" x14ac:dyDescent="0.25">
      <c r="A66" s="111" t="str">
        <f>' '!A74</f>
        <v/>
      </c>
      <c r="B66" s="113" t="str">
        <f>' '!B74</f>
        <v/>
      </c>
      <c r="C66" s="111" t="str">
        <f>' '!D74</f>
        <v/>
      </c>
      <c r="D66" s="103" t="str">
        <f>' '!H74</f>
        <v/>
      </c>
      <c r="E66" s="103" t="str">
        <f>' '!F74</f>
        <v/>
      </c>
      <c r="F66" s="104" t="str">
        <f>' '!G74</f>
        <v/>
      </c>
      <c r="G66" s="103" t="str">
        <f>' '!O74</f>
        <v xml:space="preserve"> </v>
      </c>
      <c r="I66" s="104" t="str">
        <f>' '!M74</f>
        <v/>
      </c>
      <c r="M66" s="104" t="str">
        <f>' '!I74</f>
        <v/>
      </c>
      <c r="N66" s="104" t="str">
        <f>' '!J74</f>
        <v/>
      </c>
      <c r="O66" s="104" t="str">
        <f>' '!K74</f>
        <v xml:space="preserve"> </v>
      </c>
      <c r="Q66" s="109" t="str">
        <f>' '!P74</f>
        <v/>
      </c>
      <c r="R66" s="104" t="str">
        <f>' '!Q74</f>
        <v/>
      </c>
    </row>
    <row r="67" spans="1:18" x14ac:dyDescent="0.25">
      <c r="A67" s="111" t="str">
        <f>' '!A75</f>
        <v/>
      </c>
      <c r="B67" s="113" t="str">
        <f>' '!B75</f>
        <v/>
      </c>
      <c r="C67" s="111" t="str">
        <f>' '!D75</f>
        <v/>
      </c>
      <c r="D67" s="103" t="str">
        <f>' '!H75</f>
        <v/>
      </c>
      <c r="E67" s="103" t="str">
        <f>' '!F75</f>
        <v/>
      </c>
      <c r="F67" s="104" t="str">
        <f>' '!G75</f>
        <v/>
      </c>
      <c r="G67" s="103" t="str">
        <f>' '!O75</f>
        <v xml:space="preserve"> </v>
      </c>
      <c r="I67" s="104" t="str">
        <f>' '!M75</f>
        <v/>
      </c>
      <c r="M67" s="104" t="str">
        <f>' '!I75</f>
        <v/>
      </c>
      <c r="N67" s="104" t="str">
        <f>' '!J75</f>
        <v/>
      </c>
      <c r="O67" s="104" t="str">
        <f>' '!K75</f>
        <v xml:space="preserve"> </v>
      </c>
      <c r="Q67" s="109" t="str">
        <f>' '!P75</f>
        <v/>
      </c>
      <c r="R67" s="104" t="str">
        <f>' '!Q75</f>
        <v/>
      </c>
    </row>
    <row r="68" spans="1:18" x14ac:dyDescent="0.25">
      <c r="A68" s="111" t="str">
        <f>' '!A76</f>
        <v/>
      </c>
      <c r="B68" s="113" t="str">
        <f>' '!B76</f>
        <v/>
      </c>
      <c r="C68" s="111" t="str">
        <f>' '!D76</f>
        <v/>
      </c>
      <c r="D68" s="103" t="str">
        <f>' '!H76</f>
        <v/>
      </c>
      <c r="E68" s="103" t="str">
        <f>' '!F76</f>
        <v/>
      </c>
      <c r="F68" s="104" t="str">
        <f>' '!G76</f>
        <v/>
      </c>
      <c r="G68" s="103" t="str">
        <f>' '!O76</f>
        <v xml:space="preserve"> </v>
      </c>
      <c r="I68" s="104" t="str">
        <f>' '!M76</f>
        <v/>
      </c>
      <c r="M68" s="104" t="str">
        <f>' '!I76</f>
        <v/>
      </c>
      <c r="N68" s="104" t="str">
        <f>' '!J76</f>
        <v/>
      </c>
      <c r="O68" s="104" t="str">
        <f>' '!K76</f>
        <v xml:space="preserve"> </v>
      </c>
      <c r="Q68" s="109" t="str">
        <f>' '!P76</f>
        <v/>
      </c>
      <c r="R68" s="104" t="str">
        <f>' '!Q76</f>
        <v/>
      </c>
    </row>
    <row r="69" spans="1:18" x14ac:dyDescent="0.25">
      <c r="A69" s="111" t="str">
        <f>' '!A77</f>
        <v/>
      </c>
      <c r="B69" s="113" t="str">
        <f>' '!B77</f>
        <v/>
      </c>
      <c r="C69" s="111" t="str">
        <f>' '!D77</f>
        <v/>
      </c>
      <c r="D69" s="103" t="str">
        <f>' '!H77</f>
        <v/>
      </c>
      <c r="E69" s="103" t="str">
        <f>' '!F77</f>
        <v/>
      </c>
      <c r="F69" s="104" t="str">
        <f>' '!G77</f>
        <v/>
      </c>
      <c r="G69" s="103" t="str">
        <f>' '!O77</f>
        <v xml:space="preserve"> </v>
      </c>
      <c r="I69" s="104" t="str">
        <f>' '!M77</f>
        <v/>
      </c>
      <c r="M69" s="104" t="str">
        <f>' '!I77</f>
        <v/>
      </c>
      <c r="N69" s="104" t="str">
        <f>' '!J77</f>
        <v/>
      </c>
      <c r="O69" s="104" t="str">
        <f>' '!K77</f>
        <v xml:space="preserve"> </v>
      </c>
      <c r="Q69" s="109" t="str">
        <f>' '!P77</f>
        <v/>
      </c>
      <c r="R69" s="104" t="str">
        <f>' '!Q77</f>
        <v/>
      </c>
    </row>
    <row r="70" spans="1:18" x14ac:dyDescent="0.25">
      <c r="A70" s="111" t="str">
        <f>' '!A78</f>
        <v/>
      </c>
      <c r="B70" s="113" t="str">
        <f>' '!B78</f>
        <v/>
      </c>
      <c r="C70" s="111" t="str">
        <f>' '!D78</f>
        <v/>
      </c>
      <c r="D70" s="103" t="str">
        <f>' '!H78</f>
        <v/>
      </c>
      <c r="E70" s="103" t="str">
        <f>' '!F78</f>
        <v/>
      </c>
      <c r="F70" s="104" t="str">
        <f>' '!G78</f>
        <v/>
      </c>
      <c r="G70" s="103" t="str">
        <f>' '!O78</f>
        <v xml:space="preserve"> </v>
      </c>
      <c r="I70" s="104" t="str">
        <f>' '!M78</f>
        <v/>
      </c>
      <c r="M70" s="104" t="str">
        <f>' '!I78</f>
        <v/>
      </c>
      <c r="N70" s="104" t="str">
        <f>' '!J78</f>
        <v/>
      </c>
      <c r="O70" s="104" t="str">
        <f>' '!K78</f>
        <v xml:space="preserve"> </v>
      </c>
      <c r="Q70" s="109" t="str">
        <f>' '!P78</f>
        <v/>
      </c>
      <c r="R70" s="104" t="str">
        <f>' '!Q78</f>
        <v/>
      </c>
    </row>
    <row r="71" spans="1:18" x14ac:dyDescent="0.25">
      <c r="A71" s="111" t="str">
        <f>' '!A79</f>
        <v/>
      </c>
      <c r="B71" s="113" t="str">
        <f>' '!B79</f>
        <v/>
      </c>
      <c r="C71" s="111" t="str">
        <f>' '!D79</f>
        <v/>
      </c>
      <c r="D71" s="103" t="str">
        <f>' '!H79</f>
        <v/>
      </c>
      <c r="E71" s="103" t="str">
        <f>' '!F79</f>
        <v/>
      </c>
      <c r="F71" s="104" t="str">
        <f>' '!G79</f>
        <v/>
      </c>
      <c r="G71" s="103" t="str">
        <f>' '!O79</f>
        <v xml:space="preserve"> </v>
      </c>
      <c r="I71" s="104" t="str">
        <f>' '!M79</f>
        <v/>
      </c>
      <c r="M71" s="104" t="str">
        <f>' '!I79</f>
        <v/>
      </c>
      <c r="N71" s="104" t="str">
        <f>' '!J79</f>
        <v/>
      </c>
      <c r="O71" s="104" t="str">
        <f>' '!K79</f>
        <v xml:space="preserve"> </v>
      </c>
      <c r="Q71" s="109" t="str">
        <f>' '!P79</f>
        <v/>
      </c>
      <c r="R71" s="104" t="str">
        <f>' '!Q79</f>
        <v/>
      </c>
    </row>
    <row r="72" spans="1:18" x14ac:dyDescent="0.25">
      <c r="A72" s="111" t="str">
        <f>' '!A80</f>
        <v/>
      </c>
      <c r="B72" s="113" t="str">
        <f>' '!B80</f>
        <v/>
      </c>
      <c r="C72" s="111" t="str">
        <f>' '!D80</f>
        <v/>
      </c>
      <c r="D72" s="103" t="str">
        <f>' '!H80</f>
        <v/>
      </c>
      <c r="E72" s="103" t="str">
        <f>' '!F80</f>
        <v/>
      </c>
      <c r="F72" s="104" t="str">
        <f>' '!G80</f>
        <v/>
      </c>
      <c r="G72" s="103" t="str">
        <f>' '!O80</f>
        <v xml:space="preserve"> </v>
      </c>
      <c r="I72" s="104" t="str">
        <f>' '!M80</f>
        <v/>
      </c>
      <c r="M72" s="104" t="str">
        <f>' '!I80</f>
        <v/>
      </c>
      <c r="N72" s="104" t="str">
        <f>' '!J80</f>
        <v/>
      </c>
      <c r="O72" s="104" t="str">
        <f>' '!K80</f>
        <v xml:space="preserve"> </v>
      </c>
      <c r="Q72" s="109" t="str">
        <f>' '!P80</f>
        <v/>
      </c>
      <c r="R72" s="104" t="str">
        <f>' '!Q80</f>
        <v/>
      </c>
    </row>
    <row r="73" spans="1:18" x14ac:dyDescent="0.25">
      <c r="A73" s="111" t="str">
        <f>' '!A81</f>
        <v/>
      </c>
      <c r="B73" s="113" t="str">
        <f>' '!B81</f>
        <v/>
      </c>
      <c r="C73" s="111" t="str">
        <f>' '!D81</f>
        <v/>
      </c>
      <c r="D73" s="103" t="str">
        <f>' '!H81</f>
        <v/>
      </c>
      <c r="E73" s="103" t="str">
        <f>' '!F81</f>
        <v/>
      </c>
      <c r="F73" s="104" t="str">
        <f>' '!G81</f>
        <v/>
      </c>
      <c r="G73" s="103" t="str">
        <f>' '!O81</f>
        <v xml:space="preserve"> </v>
      </c>
      <c r="I73" s="104" t="str">
        <f>' '!M81</f>
        <v/>
      </c>
      <c r="M73" s="104" t="str">
        <f>' '!I81</f>
        <v/>
      </c>
      <c r="N73" s="104" t="str">
        <f>' '!J81</f>
        <v/>
      </c>
      <c r="O73" s="104" t="str">
        <f>' '!K81</f>
        <v xml:space="preserve"> </v>
      </c>
      <c r="Q73" s="109" t="str">
        <f>' '!P81</f>
        <v/>
      </c>
      <c r="R73" s="104" t="str">
        <f>' '!Q81</f>
        <v/>
      </c>
    </row>
    <row r="74" spans="1:18" x14ac:dyDescent="0.25">
      <c r="A74" s="111" t="str">
        <f>' '!A82</f>
        <v/>
      </c>
      <c r="B74" s="113" t="str">
        <f>' '!B82</f>
        <v/>
      </c>
      <c r="C74" s="111" t="str">
        <f>' '!D82</f>
        <v/>
      </c>
      <c r="D74" s="103" t="str">
        <f>' '!H82</f>
        <v/>
      </c>
      <c r="E74" s="103" t="str">
        <f>' '!F82</f>
        <v/>
      </c>
      <c r="F74" s="104" t="str">
        <f>' '!G82</f>
        <v/>
      </c>
      <c r="G74" s="103" t="str">
        <f>' '!O82</f>
        <v xml:space="preserve"> </v>
      </c>
      <c r="I74" s="104" t="str">
        <f>' '!M82</f>
        <v/>
      </c>
      <c r="M74" s="104" t="str">
        <f>' '!I82</f>
        <v/>
      </c>
      <c r="N74" s="104" t="str">
        <f>' '!J82</f>
        <v/>
      </c>
      <c r="O74" s="104" t="str">
        <f>' '!K82</f>
        <v xml:space="preserve"> </v>
      </c>
      <c r="Q74" s="109" t="str">
        <f>' '!P82</f>
        <v/>
      </c>
      <c r="R74" s="104" t="str">
        <f>' '!Q82</f>
        <v/>
      </c>
    </row>
    <row r="75" spans="1:18" x14ac:dyDescent="0.25">
      <c r="A75" s="111" t="str">
        <f>' '!A83</f>
        <v/>
      </c>
      <c r="B75" s="113" t="str">
        <f>' '!B83</f>
        <v/>
      </c>
      <c r="C75" s="111" t="str">
        <f>' '!D83</f>
        <v/>
      </c>
      <c r="D75" s="103" t="str">
        <f>' '!H83</f>
        <v/>
      </c>
      <c r="E75" s="103" t="str">
        <f>' '!F83</f>
        <v/>
      </c>
      <c r="F75" s="104" t="str">
        <f>' '!G83</f>
        <v/>
      </c>
      <c r="G75" s="103" t="str">
        <f>' '!O83</f>
        <v xml:space="preserve"> </v>
      </c>
      <c r="I75" s="104" t="str">
        <f>' '!M83</f>
        <v/>
      </c>
      <c r="M75" s="104" t="str">
        <f>' '!I83</f>
        <v/>
      </c>
      <c r="N75" s="104" t="str">
        <f>' '!J83</f>
        <v/>
      </c>
      <c r="O75" s="104" t="str">
        <f>' '!K83</f>
        <v xml:space="preserve"> </v>
      </c>
      <c r="Q75" s="109" t="str">
        <f>' '!P83</f>
        <v/>
      </c>
      <c r="R75" s="104" t="str">
        <f>' '!Q83</f>
        <v/>
      </c>
    </row>
    <row r="76" spans="1:18" x14ac:dyDescent="0.25">
      <c r="A76" s="111" t="str">
        <f>' '!A84</f>
        <v/>
      </c>
      <c r="B76" s="113" t="str">
        <f>' '!B84</f>
        <v/>
      </c>
      <c r="C76" s="111" t="str">
        <f>' '!D84</f>
        <v/>
      </c>
      <c r="D76" s="103" t="str">
        <f>' '!H84</f>
        <v/>
      </c>
      <c r="E76" s="103" t="str">
        <f>' '!F84</f>
        <v/>
      </c>
      <c r="F76" s="104" t="str">
        <f>' '!G84</f>
        <v/>
      </c>
      <c r="G76" s="103" t="str">
        <f>' '!O84</f>
        <v xml:space="preserve"> </v>
      </c>
      <c r="I76" s="104" t="str">
        <f>' '!M84</f>
        <v/>
      </c>
      <c r="M76" s="104" t="str">
        <f>' '!I84</f>
        <v/>
      </c>
      <c r="N76" s="104" t="str">
        <f>' '!J84</f>
        <v/>
      </c>
      <c r="O76" s="104" t="str">
        <f>' '!K84</f>
        <v xml:space="preserve"> </v>
      </c>
      <c r="Q76" s="109" t="str">
        <f>' '!P84</f>
        <v/>
      </c>
      <c r="R76" s="104" t="str">
        <f>' '!Q84</f>
        <v/>
      </c>
    </row>
    <row r="77" spans="1:18" x14ac:dyDescent="0.25">
      <c r="A77" s="111" t="str">
        <f>' '!A85</f>
        <v/>
      </c>
      <c r="B77" s="113" t="str">
        <f>' '!B85</f>
        <v/>
      </c>
      <c r="C77" s="111" t="str">
        <f>' '!D85</f>
        <v/>
      </c>
      <c r="D77" s="103" t="str">
        <f>' '!H85</f>
        <v/>
      </c>
      <c r="E77" s="103" t="str">
        <f>' '!F85</f>
        <v/>
      </c>
      <c r="F77" s="104" t="str">
        <f>' '!G85</f>
        <v/>
      </c>
      <c r="G77" s="103" t="str">
        <f>' '!O85</f>
        <v xml:space="preserve"> </v>
      </c>
      <c r="I77" s="104" t="str">
        <f>' '!M85</f>
        <v/>
      </c>
      <c r="M77" s="104" t="str">
        <f>' '!I85</f>
        <v/>
      </c>
      <c r="N77" s="104" t="str">
        <f>' '!J85</f>
        <v xml:space="preserve"> </v>
      </c>
      <c r="O77" s="104" t="str">
        <f>' '!K85</f>
        <v/>
      </c>
      <c r="Q77" s="109" t="str">
        <f>' '!P85</f>
        <v/>
      </c>
      <c r="R77" s="104" t="str">
        <f>' '!Q85</f>
        <v/>
      </c>
    </row>
    <row r="78" spans="1:18" x14ac:dyDescent="0.25">
      <c r="A78" s="101" t="str">
        <f>' '!A86</f>
        <v/>
      </c>
      <c r="D78" s="103" t="str">
        <f>' '!H86</f>
        <v/>
      </c>
    </row>
    <row r="79" spans="1:18" x14ac:dyDescent="0.25">
      <c r="A79" s="101" t="str">
        <f>' '!A87</f>
        <v/>
      </c>
    </row>
    <row r="80" spans="1:18" x14ac:dyDescent="0.25">
      <c r="A80" s="101" t="str">
        <f>' '!A88</f>
        <v/>
      </c>
    </row>
    <row r="81" spans="1:1" x14ac:dyDescent="0.25">
      <c r="A81" s="101" t="str">
        <f>' '!A89</f>
        <v/>
      </c>
    </row>
  </sheetData>
  <sheetProtection password="C675" sheet="1" objects="1" scenarios="1"/>
  <mergeCells count="24">
    <mergeCell ref="R11:R14"/>
    <mergeCell ref="E12:E14"/>
    <mergeCell ref="F12:F14"/>
    <mergeCell ref="G12:P12"/>
    <mergeCell ref="G13:J13"/>
    <mergeCell ref="K13:L13"/>
    <mergeCell ref="M13:P13"/>
    <mergeCell ref="Q11:Q14"/>
    <mergeCell ref="A11:A14"/>
    <mergeCell ref="B11:B14"/>
    <mergeCell ref="C11:C14"/>
    <mergeCell ref="D11:D14"/>
    <mergeCell ref="E11:P11"/>
    <mergeCell ref="A9:B9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</vt:lpstr>
      <vt:lpstr>графік платежів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2021-09-28T07:20:13Z</dcterms:modified>
</cp:coreProperties>
</file>